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15" windowWidth="11235" windowHeight="7605" firstSheet="1" activeTab="2"/>
  </bookViews>
  <sheets>
    <sheet name="Basic" sheetId="18" r:id="rId1"/>
    <sheet name="Dist Rate" sheetId="16" r:id="rId2"/>
    <sheet name="update Rate" sheetId="13" r:id="rId3"/>
    <sheet name="Update Descrip" sheetId="10" r:id="rId4"/>
    <sheet name="Table of Content 1" sheetId="17" r:id="rId5"/>
    <sheet name="Table of Content 2" sheetId="3" r:id="rId6"/>
    <sheet name="Sheet1" sheetId="19" r:id="rId7"/>
  </sheets>
  <definedNames>
    <definedName name="_cgi24">'update Rate'!$F$92</definedName>
    <definedName name="_cgi26">'update Rate'!$F$94</definedName>
    <definedName name="_xlnm._FilterDatabase" localSheetId="0" hidden="1">Basic!#REF!</definedName>
    <definedName name="_xlnm._FilterDatabase" localSheetId="2" hidden="1">'update Rate'!$B$3:$F$219</definedName>
    <definedName name="awood">'update Rate'!$F$52</definedName>
    <definedName name="bmarble">'update Rate'!#REF!</definedName>
    <definedName name="brick">'update Rate'!$F$11</definedName>
    <definedName name="cheskini100">'update Rate'!$F$63</definedName>
    <definedName name="cheskini150">'update Rate'!$F$64</definedName>
    <definedName name="cheskini300">'update Rate'!$F$65</definedName>
    <definedName name="Chuna" localSheetId="3">'Update Descrip'!#REF!</definedName>
    <definedName name="Chuna">#REF!</definedName>
    <definedName name="colorpata">'update Rate'!$F$110</definedName>
    <definedName name="Diagowar">'update Rate'!$F$183</definedName>
    <definedName name="giwar">'update Rate'!$F$182</definedName>
    <definedName name="giwire">'update Rate'!$F$48</definedName>
    <definedName name="giwire24">'update Rate'!$F$49</definedName>
    <definedName name="glass3">'update Rate'!$F$84</definedName>
    <definedName name="glass4">'update Rate'!$F$85</definedName>
    <definedName name="glass5">'update Rate'!$F$86</definedName>
    <definedName name="glass6">'update Rate'!$F$87</definedName>
    <definedName name="handle">'update Rate'!$F$88</definedName>
    <definedName name="holpass">'update Rate'!$F$60</definedName>
    <definedName name="igwire">'update Rate'!$F$48</definedName>
    <definedName name="Jparling">'update Rate'!$F$90</definedName>
    <definedName name="jphalak">'update Rate'!$F$56</definedName>
    <definedName name="Jwarling">'update Rate'!$F$91</definedName>
    <definedName name="Jwood">'update Rate'!$F$54</definedName>
    <definedName name="jyami">'update Rate'!#REF!,'update Rate'!#REF!,'update Rate'!#REF!,'update Rate'!#REF!,'update Rate'!#REF!</definedName>
    <definedName name="Kabja100">'update Rate'!$F$61</definedName>
    <definedName name="kabja75">'update Rate'!$F$62</definedName>
    <definedName name="kila">'update Rate'!$F$57</definedName>
    <definedName name="Labour">'Update Descrip'!$F$7,'Update Descrip'!#REF!,'Update Descrip'!$F$38,'Update Descrip'!$F$50,'Update Descrip'!$F$63,'Update Descrip'!$F$79,'Update Descrip'!#REF!,'Update Descrip'!$F$149,'Update Descrip'!$F$161,'Update Descrip'!$F$177</definedName>
    <definedName name="lucking300">'update Rate'!$F$66</definedName>
    <definedName name="Marble">'update Rate'!$F$40</definedName>
    <definedName name="mason">'update Rate'!$F$5</definedName>
    <definedName name="mluck">'update Rate'!$F$67</definedName>
    <definedName name="moluck">'update Rate'!$F$67</definedName>
    <definedName name="nutbolt">'update Rate'!#REF!</definedName>
    <definedName name="nutbolt8">'update Rate'!#REF!</definedName>
    <definedName name="pkila">'update Rate'!$F$59</definedName>
    <definedName name="plainst26">'update Rate'!$F$98</definedName>
    <definedName name="plainst28">'update Rate'!$F$98</definedName>
    <definedName name="Planst">'update Rate'!#REF!</definedName>
    <definedName name="plywood4">'update Rate'!$F$68</definedName>
    <definedName name="plywood6">'update Rate'!$F$70</definedName>
    <definedName name="_xlnm.Print_Area" localSheetId="0">Basic!$A$1:$E$1028</definedName>
    <definedName name="_xlnm.Print_Area" localSheetId="4">'Table of Content 1'!$B$1:$E$20</definedName>
    <definedName name="_xlnm.Print_Area" localSheetId="5">'Table of Content 2'!$A$2:$F$387</definedName>
    <definedName name="_xlnm.Print_Area" localSheetId="3">'Update Descrip'!$A$1:$H$4833</definedName>
    <definedName name="_xlnm.Print_Area" localSheetId="2">'update Rate'!$A$184:$G$195</definedName>
    <definedName name="_xlnm.Print_Titles" localSheetId="0">Basic!$698:$698</definedName>
    <definedName name="_xlnm.Print_Titles" localSheetId="1">'Dist Rate'!$2:$7</definedName>
    <definedName name="_xlnm.Print_Titles" localSheetId="5">'Table of Content 2'!$4:$4</definedName>
    <definedName name="_xlnm.Print_Titles" localSheetId="2">'update Rate'!$1:$3</definedName>
    <definedName name="shandle">'update Rate'!$F$89</definedName>
    <definedName name="Swood">'update Rate'!$F$55</definedName>
    <definedName name="Tikply4">'update Rate'!$F$80</definedName>
    <definedName name="tikwood4">'update Rate'!#REF!</definedName>
    <definedName name="torsteel">'update Rate'!$F$44</definedName>
    <definedName name="Ttile">'update Rate'!$F$42</definedName>
  </definedNames>
  <calcPr calcId="124519"/>
</workbook>
</file>

<file path=xl/calcChain.xml><?xml version="1.0" encoding="utf-8"?>
<calcChain xmlns="http://schemas.openxmlformats.org/spreadsheetml/2006/main">
  <c r="F4829" i="10"/>
  <c r="F4828"/>
  <c r="G4829"/>
  <c r="H4829" s="1"/>
  <c r="G4828"/>
  <c r="H4828" s="1"/>
  <c r="F4815"/>
  <c r="F4817"/>
  <c r="F4818"/>
  <c r="A109" i="3"/>
  <c r="A110" s="1"/>
  <c r="A111" s="1"/>
  <c r="A112" s="1"/>
  <c r="A113" s="1"/>
  <c r="D3979" i="10"/>
  <c r="D3966"/>
  <c r="D3952"/>
  <c r="K3952"/>
  <c r="F1657"/>
  <c r="G1657" s="1"/>
  <c r="F4802"/>
  <c r="G4802" s="1"/>
  <c r="H4802" s="1"/>
  <c r="H4803" s="1"/>
  <c r="F4679"/>
  <c r="G4679" s="1"/>
  <c r="H4680" s="1"/>
  <c r="H4681" s="1"/>
  <c r="F4667"/>
  <c r="G4667" s="1"/>
  <c r="H4668" s="1"/>
  <c r="H4669" s="1"/>
  <c r="F4655"/>
  <c r="G4655" s="1"/>
  <c r="H4656" s="1"/>
  <c r="H4657" s="1"/>
  <c r="F4644"/>
  <c r="G4644" s="1"/>
  <c r="H4645" s="1"/>
  <c r="H4646" s="1"/>
  <c r="F4633"/>
  <c r="G4633" s="1"/>
  <c r="H4633" s="1"/>
  <c r="H4634" s="1"/>
  <c r="F4622"/>
  <c r="F4610"/>
  <c r="F4598"/>
  <c r="F4585"/>
  <c r="F4571"/>
  <c r="F4560"/>
  <c r="F4549"/>
  <c r="E195" i="13"/>
  <c r="F195" s="1"/>
  <c r="E194"/>
  <c r="F194"/>
  <c r="E193"/>
  <c r="E191"/>
  <c r="F191"/>
  <c r="E192"/>
  <c r="E190"/>
  <c r="E189"/>
  <c r="E188"/>
  <c r="E187"/>
  <c r="E186"/>
  <c r="E185"/>
  <c r="E184"/>
  <c r="F4258" i="10"/>
  <c r="F2065"/>
  <c r="F2048"/>
  <c r="F2001"/>
  <c r="F1830"/>
  <c r="F1505"/>
  <c r="F1001"/>
  <c r="F974"/>
  <c r="H115"/>
  <c r="F89"/>
  <c r="G89" s="1"/>
  <c r="A223" i="3"/>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70" s="1"/>
  <c r="A271" s="1"/>
  <c r="A272" s="1"/>
  <c r="A273" s="1"/>
  <c r="A274" s="1"/>
  <c r="A275" s="1"/>
  <c r="A276" s="1"/>
  <c r="A277" s="1"/>
  <c r="A278" s="1"/>
  <c r="A279" s="1"/>
  <c r="A280" s="1"/>
  <c r="A281" s="1"/>
  <c r="A282" s="1"/>
  <c r="A286" s="1"/>
  <c r="A287" s="1"/>
  <c r="A288" s="1"/>
  <c r="A289" s="1"/>
  <c r="A290" s="1"/>
  <c r="A294" s="1"/>
  <c r="A295" s="1"/>
  <c r="A296" s="1"/>
  <c r="A297" s="1"/>
  <c r="A298" s="1"/>
  <c r="A299" s="1"/>
  <c r="A300" s="1"/>
  <c r="A301" s="1"/>
  <c r="A302" s="1"/>
  <c r="A303" s="1"/>
  <c r="A304" s="1"/>
  <c r="A305" s="1"/>
  <c r="A306" s="1"/>
  <c r="A307" s="1"/>
  <c r="A308" s="1"/>
  <c r="A309" s="1"/>
  <c r="A310" s="1"/>
  <c r="A311" s="1"/>
  <c r="A312" s="1"/>
  <c r="A313" s="1"/>
  <c r="A317" s="1"/>
  <c r="A318" s="1"/>
  <c r="A319" s="1"/>
  <c r="A320" s="1"/>
  <c r="A321" s="1"/>
  <c r="A322" s="1"/>
  <c r="A323" s="1"/>
  <c r="A324" s="1"/>
  <c r="A325" s="1"/>
  <c r="A326" s="1"/>
  <c r="A327" s="1"/>
  <c r="A328" s="1"/>
  <c r="A332" s="1"/>
  <c r="A333" s="1"/>
  <c r="A334" s="1"/>
  <c r="A335" s="1"/>
  <c r="A336" s="1"/>
  <c r="A337" s="1"/>
  <c r="A338" s="1"/>
  <c r="A339" s="1"/>
  <c r="A343" s="1"/>
  <c r="A344" s="1"/>
  <c r="A345" s="1"/>
  <c r="A346" s="1"/>
  <c r="A347" s="1"/>
  <c r="A348" s="1"/>
  <c r="A349" s="1"/>
  <c r="A118"/>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7" s="1"/>
  <c r="A198" s="1"/>
  <c r="A199" s="1"/>
  <c r="A200" s="1"/>
  <c r="A201" s="1"/>
  <c r="A202" s="1"/>
  <c r="A203" s="1"/>
  <c r="A204" s="1"/>
  <c r="A205" s="1"/>
  <c r="A206" s="1"/>
  <c r="A207" s="1"/>
  <c r="A208" s="1"/>
  <c r="A209" s="1"/>
  <c r="A210" s="1"/>
  <c r="A211" s="1"/>
  <c r="A212" s="1"/>
  <c r="A213" s="1"/>
  <c r="A214" s="1"/>
  <c r="A215" s="1"/>
  <c r="A216" s="1"/>
  <c r="A217" s="1"/>
  <c r="A218" s="1"/>
  <c r="B7" i="13"/>
  <c r="H131" i="10"/>
  <c r="G2691"/>
  <c r="F642" i="19"/>
  <c r="G642" s="1"/>
  <c r="H643" s="1"/>
  <c r="H644" s="1"/>
  <c r="F629"/>
  <c r="G629" s="1"/>
  <c r="H630" s="1"/>
  <c r="H631" s="1"/>
  <c r="I621"/>
  <c r="F617"/>
  <c r="G617" s="1"/>
  <c r="H618" s="1"/>
  <c r="H619" s="1"/>
  <c r="I607"/>
  <c r="F605"/>
  <c r="G605" s="1"/>
  <c r="H606" s="1"/>
  <c r="H607" s="1"/>
  <c r="F592"/>
  <c r="G592" s="1"/>
  <c r="H593" s="1"/>
  <c r="H594" s="1"/>
  <c r="F579"/>
  <c r="G579" s="1"/>
  <c r="H580" s="1"/>
  <c r="H581" s="1"/>
  <c r="F4816" i="10"/>
  <c r="F352" i="13"/>
  <c r="F4792" i="10" s="1"/>
  <c r="F351" i="13"/>
  <c r="F4782" i="10" s="1"/>
  <c r="F350" i="13"/>
  <c r="F4770" i="10" s="1"/>
  <c r="F349" i="13"/>
  <c r="F4759" i="10" s="1"/>
  <c r="F348" i="13"/>
  <c r="F4747" i="10" s="1"/>
  <c r="G4438"/>
  <c r="G4437"/>
  <c r="G4423"/>
  <c r="G4422"/>
  <c r="G4409"/>
  <c r="G4408"/>
  <c r="H253" i="13"/>
  <c r="E330"/>
  <c r="F330" s="1"/>
  <c r="F1503" i="10" s="1"/>
  <c r="E39" i="13"/>
  <c r="F498"/>
  <c r="F499"/>
  <c r="F485"/>
  <c r="F845" i="10" s="1"/>
  <c r="F486" i="13"/>
  <c r="F872" i="10" s="1"/>
  <c r="F487" i="13"/>
  <c r="F934" i="10" s="1"/>
  <c r="G934" s="1"/>
  <c r="B488" i="13"/>
  <c r="F488"/>
  <c r="F935" i="10" s="1"/>
  <c r="G935" s="1"/>
  <c r="B489" i="13"/>
  <c r="F489"/>
  <c r="F957" i="10" s="1"/>
  <c r="B490" i="13"/>
  <c r="B491"/>
  <c r="F491"/>
  <c r="B492"/>
  <c r="F492"/>
  <c r="B493"/>
  <c r="F493"/>
  <c r="B494"/>
  <c r="F494"/>
  <c r="B495"/>
  <c r="F495"/>
  <c r="B496"/>
  <c r="F496"/>
  <c r="B497"/>
  <c r="B498" s="1"/>
  <c r="B499" s="1"/>
  <c r="B500" s="1"/>
  <c r="B501" s="1"/>
  <c r="B502" s="1"/>
  <c r="B503" s="1"/>
  <c r="B504" s="1"/>
  <c r="B505" s="1"/>
  <c r="F497"/>
  <c r="F500"/>
  <c r="F501"/>
  <c r="F502"/>
  <c r="F503"/>
  <c r="F504"/>
  <c r="F248" i="10" s="1"/>
  <c r="F505" i="13"/>
  <c r="F260" i="10" s="1"/>
  <c r="G260" s="1"/>
  <c r="F506" i="13"/>
  <c r="F282" i="10" s="1"/>
  <c r="G282" s="1"/>
  <c r="B507" i="13"/>
  <c r="F507"/>
  <c r="F874" i="10" s="1"/>
  <c r="B508" i="13"/>
  <c r="F508"/>
  <c r="F828" i="10" s="1"/>
  <c r="E509" i="13"/>
  <c r="F509" s="1"/>
  <c r="F510"/>
  <c r="F511"/>
  <c r="F847" i="10" s="1"/>
  <c r="F512" i="13"/>
  <c r="F2595" i="10" s="1"/>
  <c r="F513" i="13"/>
  <c r="F2568" i="10" s="1"/>
  <c r="F514" i="13"/>
  <c r="F515"/>
  <c r="F2582" i="10" s="1"/>
  <c r="F516" i="13"/>
  <c r="F1372" i="10" s="1"/>
  <c r="F517" i="13"/>
  <c r="F518"/>
  <c r="F519"/>
  <c r="F520"/>
  <c r="F521"/>
  <c r="F524"/>
  <c r="F525"/>
  <c r="F4307" i="10" s="1"/>
  <c r="F526" i="13"/>
  <c r="F4391" i="10" s="1"/>
  <c r="G4391" s="1"/>
  <c r="F527" i="13"/>
  <c r="F528"/>
  <c r="F4392" i="10" s="1"/>
  <c r="G4392" s="1"/>
  <c r="F529" i="13"/>
  <c r="F4393" i="10" s="1"/>
  <c r="G4393" s="1"/>
  <c r="F530" i="13"/>
  <c r="F4462" i="10" s="1"/>
  <c r="F531" i="13"/>
  <c r="F125" i="10" s="1"/>
  <c r="F532" i="13"/>
  <c r="F126" i="10" s="1"/>
  <c r="F533" i="13"/>
  <c r="H4830" i="10" l="1"/>
  <c r="A350" i="3"/>
  <c r="A351" s="1"/>
  <c r="A352" s="1"/>
  <c r="A353" s="1"/>
  <c r="A357" s="1"/>
  <c r="A358" s="1"/>
  <c r="A359" s="1"/>
  <c r="A360" s="1"/>
  <c r="A361" s="1"/>
  <c r="A362" s="1"/>
  <c r="A363" s="1"/>
  <c r="A364" s="1"/>
  <c r="H4804" i="10"/>
  <c r="H4805" s="1"/>
  <c r="B4805" s="1"/>
  <c r="E385" i="3" s="1"/>
  <c r="H4682" i="10"/>
  <c r="H4683" s="1"/>
  <c r="B4683" s="1"/>
  <c r="E368" i="3" s="1"/>
  <c r="H4670" i="10"/>
  <c r="H4671" s="1"/>
  <c r="B4671" s="1"/>
  <c r="E367" i="3" s="1"/>
  <c r="H4658" i="10"/>
  <c r="H4659" s="1"/>
  <c r="B4659" s="1"/>
  <c r="E366" i="3" s="1"/>
  <c r="H4647" i="10"/>
  <c r="H4648" s="1"/>
  <c r="B4648" s="1"/>
  <c r="E365" i="3" s="1"/>
  <c r="H4635" i="10"/>
  <c r="H4636" s="1"/>
  <c r="B4636" s="1"/>
  <c r="E364" i="3" s="1"/>
  <c r="H596" i="19"/>
  <c r="B596" s="1"/>
  <c r="H595"/>
  <c r="H621"/>
  <c r="B621" s="1"/>
  <c r="H620"/>
  <c r="H646"/>
  <c r="B646" s="1"/>
  <c r="H645"/>
  <c r="H583"/>
  <c r="B583" s="1"/>
  <c r="H582"/>
  <c r="H609"/>
  <c r="B609" s="1"/>
  <c r="H608"/>
  <c r="H633"/>
  <c r="B633" s="1"/>
  <c r="H632"/>
  <c r="F4334" i="10"/>
  <c r="G4334" s="1"/>
  <c r="H4334" s="1"/>
  <c r="F4376"/>
  <c r="G4376" s="1"/>
  <c r="F112"/>
  <c r="F90"/>
  <c r="F270"/>
  <c r="F281"/>
  <c r="F1353"/>
  <c r="F111"/>
  <c r="G111" s="1"/>
  <c r="F271"/>
  <c r="G271" s="1"/>
  <c r="F976"/>
  <c r="F958"/>
  <c r="F938"/>
  <c r="F940"/>
  <c r="F916"/>
  <c r="F918"/>
  <c r="F891"/>
  <c r="F893"/>
  <c r="F871"/>
  <c r="F873"/>
  <c r="F844"/>
  <c r="F846"/>
  <c r="F848"/>
  <c r="F805"/>
  <c r="F975"/>
  <c r="F937"/>
  <c r="F939"/>
  <c r="F917"/>
  <c r="F919"/>
  <c r="F892"/>
  <c r="F894"/>
  <c r="E459" i="13"/>
  <c r="E460"/>
  <c r="E461"/>
  <c r="E462"/>
  <c r="E463"/>
  <c r="E458"/>
  <c r="E452"/>
  <c r="E453"/>
  <c r="E454"/>
  <c r="E455"/>
  <c r="E456"/>
  <c r="E451"/>
  <c r="E445"/>
  <c r="E446"/>
  <c r="E447"/>
  <c r="E448"/>
  <c r="E449"/>
  <c r="E444"/>
  <c r="E438"/>
  <c r="E439"/>
  <c r="E440"/>
  <c r="E441"/>
  <c r="E442"/>
  <c r="E437"/>
  <c r="E434"/>
  <c r="E435"/>
  <c r="E433"/>
  <c r="E430"/>
  <c r="E431"/>
  <c r="E429"/>
  <c r="E424"/>
  <c r="E425"/>
  <c r="E419"/>
  <c r="E418"/>
  <c r="E417"/>
  <c r="E416"/>
  <c r="E466"/>
  <c r="E467"/>
  <c r="E468"/>
  <c r="E469"/>
  <c r="E470"/>
  <c r="E465"/>
  <c r="E482"/>
  <c r="E481"/>
  <c r="E480"/>
  <c r="E479"/>
  <c r="E478"/>
  <c r="E477"/>
  <c r="E476"/>
  <c r="E475"/>
  <c r="E474"/>
  <c r="E341"/>
  <c r="E340"/>
  <c r="E338"/>
  <c r="E337"/>
  <c r="E336"/>
  <c r="E328"/>
  <c r="E327"/>
  <c r="E325"/>
  <c r="E324"/>
  <c r="E197"/>
  <c r="E196"/>
  <c r="H4831" i="10" l="1"/>
  <c r="H4832" s="1"/>
  <c r="B4832" s="1"/>
  <c r="E387" i="3" s="1"/>
  <c r="A365"/>
  <c r="A366" s="1"/>
  <c r="A367" s="1"/>
  <c r="A368" s="1"/>
  <c r="A372" s="1"/>
  <c r="A373" s="1"/>
  <c r="A374" s="1"/>
  <c r="A375" s="1"/>
  <c r="A376" s="1"/>
  <c r="A377" s="1"/>
  <c r="A378" s="1"/>
  <c r="A379" s="1"/>
  <c r="A380" s="1"/>
  <c r="A381" s="1"/>
  <c r="A385" s="1"/>
  <c r="A386" s="1"/>
  <c r="H3968" i="10"/>
  <c r="G2595" l="1"/>
  <c r="H2595" s="1"/>
  <c r="G2582"/>
  <c r="G2568"/>
  <c r="E69" i="13"/>
  <c r="F69" s="1"/>
  <c r="F1754" i="10" s="1"/>
  <c r="G1754" s="1"/>
  <c r="E68" i="13"/>
  <c r="F1448" i="10"/>
  <c r="E103" i="13"/>
  <c r="E104" s="1"/>
  <c r="F104" s="1"/>
  <c r="E105"/>
  <c r="E106" s="1"/>
  <c r="F106" s="1"/>
  <c r="F1310" i="10" s="1"/>
  <c r="B105" i="13"/>
  <c r="G976" i="10"/>
  <c r="G975"/>
  <c r="G974"/>
  <c r="G958"/>
  <c r="H958" s="1"/>
  <c r="G957"/>
  <c r="H957" s="1"/>
  <c r="G940"/>
  <c r="G939"/>
  <c r="G938"/>
  <c r="G937"/>
  <c r="G919"/>
  <c r="G918"/>
  <c r="G917"/>
  <c r="G916"/>
  <c r="G894"/>
  <c r="G893"/>
  <c r="G892"/>
  <c r="G891"/>
  <c r="G846"/>
  <c r="G845"/>
  <c r="G844"/>
  <c r="G871"/>
  <c r="G872"/>
  <c r="G874"/>
  <c r="G873"/>
  <c r="G847"/>
  <c r="G848"/>
  <c r="H282"/>
  <c r="G281"/>
  <c r="H281" s="1"/>
  <c r="H271"/>
  <c r="G270"/>
  <c r="H270" s="1"/>
  <c r="H260"/>
  <c r="G125"/>
  <c r="G126"/>
  <c r="H133"/>
  <c r="G112"/>
  <c r="A105"/>
  <c r="A121" s="1"/>
  <c r="A145" s="1"/>
  <c r="A157" s="1"/>
  <c r="G90"/>
  <c r="F973"/>
  <c r="G973" s="1"/>
  <c r="F119" i="13"/>
  <c r="F116"/>
  <c r="F1431" i="10" s="1"/>
  <c r="G1431" s="1"/>
  <c r="F115" i="13"/>
  <c r="F1460" i="10" s="1"/>
  <c r="G1460" s="1"/>
  <c r="F99" i="13"/>
  <c r="F1248" i="10" s="1"/>
  <c r="G1248" s="1"/>
  <c r="H1249" s="1"/>
  <c r="F97" i="13"/>
  <c r="F1230" i="10" s="1"/>
  <c r="G1230" s="1"/>
  <c r="H1231" s="1"/>
  <c r="F100" i="13"/>
  <c r="F4"/>
  <c r="F5"/>
  <c r="F6"/>
  <c r="F7"/>
  <c r="F8"/>
  <c r="F9"/>
  <c r="F972" i="10" s="1"/>
  <c r="G972" s="1"/>
  <c r="F10" i="13"/>
  <c r="F586" i="10" s="1"/>
  <c r="G586" s="1"/>
  <c r="F11" i="13"/>
  <c r="F12"/>
  <c r="F13"/>
  <c r="F14"/>
  <c r="F15"/>
  <c r="F16"/>
  <c r="F17"/>
  <c r="F548" i="10" s="1"/>
  <c r="G548" s="1"/>
  <c r="F18" i="13"/>
  <c r="F646" i="10" s="1"/>
  <c r="G646" s="1"/>
  <c r="F19" i="13"/>
  <c r="F20"/>
  <c r="F21"/>
  <c r="F22"/>
  <c r="F23"/>
  <c r="F24"/>
  <c r="F25"/>
  <c r="F26"/>
  <c r="G828" i="10" s="1"/>
  <c r="F27" i="13"/>
  <c r="F28"/>
  <c r="F29"/>
  <c r="F30"/>
  <c r="F31"/>
  <c r="F33"/>
  <c r="F970" i="10" s="1"/>
  <c r="G970" s="1"/>
  <c r="F34" i="13"/>
  <c r="F971" i="10" s="1"/>
  <c r="G971" s="1"/>
  <c r="F35" i="13"/>
  <c r="F36"/>
  <c r="F37"/>
  <c r="F932" i="10" s="1"/>
  <c r="G932" s="1"/>
  <c r="F38" i="13"/>
  <c r="F39"/>
  <c r="F227" i="10" s="1"/>
  <c r="F40" i="13"/>
  <c r="F41"/>
  <c r="F2630" i="10" s="1"/>
  <c r="G2630" s="1"/>
  <c r="F42" i="13"/>
  <c r="F43"/>
  <c r="F44"/>
  <c r="F45"/>
  <c r="F988" i="10" s="1"/>
  <c r="F48" i="13"/>
  <c r="F989" i="10" s="1"/>
  <c r="G989" s="1"/>
  <c r="F49" i="13"/>
  <c r="F1694" i="10" s="1"/>
  <c r="G1694" s="1"/>
  <c r="F50" i="13"/>
  <c r="F1695" i="10" s="1"/>
  <c r="G1695" s="1"/>
  <c r="F51" i="13"/>
  <c r="F52"/>
  <c r="F344" i="19" s="1"/>
  <c r="G344" s="1"/>
  <c r="F53" i="13"/>
  <c r="F55"/>
  <c r="F56"/>
  <c r="F57"/>
  <c r="F58"/>
  <c r="F347" i="19" s="1"/>
  <c r="G347" s="1"/>
  <c r="F59" i="13"/>
  <c r="F4378" i="10" s="1"/>
  <c r="G4378" s="1"/>
  <c r="F60" i="13"/>
  <c r="F1518" i="10" s="1"/>
  <c r="G1518" s="1"/>
  <c r="F61" i="13"/>
  <c r="F1696" i="10" s="1"/>
  <c r="G1696" s="1"/>
  <c r="F62" i="13"/>
  <c r="F63"/>
  <c r="F64"/>
  <c r="F1697" i="10" s="1"/>
  <c r="G1697" s="1"/>
  <c r="F65" i="13"/>
  <c r="F66"/>
  <c r="F67"/>
  <c r="F68"/>
  <c r="F4407" i="10" s="1"/>
  <c r="G4407" s="1"/>
  <c r="F70" i="13"/>
  <c r="F71"/>
  <c r="F72"/>
  <c r="F4458" i="10" s="1"/>
  <c r="G4458" s="1"/>
  <c r="F73" i="13"/>
  <c r="F4390" i="10" s="1"/>
  <c r="G4390" s="1"/>
  <c r="F74" i="13"/>
  <c r="F75"/>
  <c r="F76"/>
  <c r="F77"/>
  <c r="F78"/>
  <c r="F79"/>
  <c r="F80"/>
  <c r="F1781" i="10" s="1"/>
  <c r="G1781" s="1"/>
  <c r="H1783" s="1"/>
  <c r="F81" i="13"/>
  <c r="F82"/>
  <c r="F83"/>
  <c r="F84"/>
  <c r="F85"/>
  <c r="F86"/>
  <c r="F87"/>
  <c r="F88"/>
  <c r="F89"/>
  <c r="F1698" i="10" s="1"/>
  <c r="G1698" s="1"/>
  <c r="F90" i="13"/>
  <c r="F91"/>
  <c r="F92"/>
  <c r="F1182" i="10" s="1"/>
  <c r="G1182" s="1"/>
  <c r="F93" i="13"/>
  <c r="F1198" i="10" s="1"/>
  <c r="G1198" s="1"/>
  <c r="F94" i="13"/>
  <c r="F1215" i="10" s="1"/>
  <c r="G1215" s="1"/>
  <c r="F96" i="13"/>
  <c r="F1658" i="10" s="1"/>
  <c r="G1658" s="1"/>
  <c r="F98" i="13"/>
  <c r="F101"/>
  <c r="F102"/>
  <c r="F103"/>
  <c r="F1371" i="10" s="1"/>
  <c r="G1371" s="1"/>
  <c r="F107" i="13"/>
  <c r="F108"/>
  <c r="F109"/>
  <c r="F110"/>
  <c r="F111"/>
  <c r="F112"/>
  <c r="F113"/>
  <c r="F1264" i="10" s="1"/>
  <c r="G1264" s="1"/>
  <c r="F118" i="13"/>
  <c r="F120"/>
  <c r="F121"/>
  <c r="F122"/>
  <c r="F123"/>
  <c r="F124"/>
  <c r="F1124" i="10" s="1"/>
  <c r="G1124" s="1"/>
  <c r="F125" i="13"/>
  <c r="F1462" i="10" s="1"/>
  <c r="G1462" s="1"/>
  <c r="F126" i="13"/>
  <c r="F1463" i="10" s="1"/>
  <c r="G1463" s="1"/>
  <c r="F127" i="13"/>
  <c r="F128"/>
  <c r="F129"/>
  <c r="F2690" i="10" s="1"/>
  <c r="G2690" s="1"/>
  <c r="F130" i="13"/>
  <c r="F131"/>
  <c r="F132"/>
  <c r="F133"/>
  <c r="F134"/>
  <c r="F135"/>
  <c r="F136"/>
  <c r="F1699" i="10" s="1"/>
  <c r="G1699" s="1"/>
  <c r="F137" i="13"/>
  <c r="F138"/>
  <c r="F139"/>
  <c r="F140"/>
  <c r="F141"/>
  <c r="F142"/>
  <c r="F143"/>
  <c r="F571" i="10" s="1"/>
  <c r="G571" s="1"/>
  <c r="F144" i="13"/>
  <c r="F145"/>
  <c r="F146"/>
  <c r="F147"/>
  <c r="F269" i="19" s="1"/>
  <c r="G269" s="1"/>
  <c r="F148" i="13"/>
  <c r="F149"/>
  <c r="F150"/>
  <c r="F151"/>
  <c r="F152"/>
  <c r="F153"/>
  <c r="F3191" i="10" s="1"/>
  <c r="G3191" s="1"/>
  <c r="H3191" s="1"/>
  <c r="H3192" s="1"/>
  <c r="H3193" s="1"/>
  <c r="H3194" s="1"/>
  <c r="B3194" s="1"/>
  <c r="D3194" s="1"/>
  <c r="E235" i="3" s="1"/>
  <c r="E166" i="18" s="1"/>
  <c r="F154" i="13"/>
  <c r="F155"/>
  <c r="F156"/>
  <c r="G1503" i="10" s="1"/>
  <c r="F157" i="13"/>
  <c r="F158"/>
  <c r="F159"/>
  <c r="F160"/>
  <c r="F161"/>
  <c r="F162"/>
  <c r="F163"/>
  <c r="F164"/>
  <c r="F165"/>
  <c r="F166"/>
  <c r="G1505" i="10" s="1"/>
  <c r="F167" i="13"/>
  <c r="F168"/>
  <c r="F169"/>
  <c r="F170"/>
  <c r="F171"/>
  <c r="F172"/>
  <c r="F173"/>
  <c r="F174"/>
  <c r="F175"/>
  <c r="F176"/>
  <c r="F177"/>
  <c r="F178"/>
  <c r="F179"/>
  <c r="F180"/>
  <c r="F181"/>
  <c r="F182"/>
  <c r="F183"/>
  <c r="F184"/>
  <c r="F185"/>
  <c r="F22" i="19" s="1"/>
  <c r="G22" s="1"/>
  <c r="H22" s="1"/>
  <c r="H23" s="1"/>
  <c r="H24" s="1"/>
  <c r="H25" s="1"/>
  <c r="B25" s="1"/>
  <c r="F186" i="13"/>
  <c r="F187"/>
  <c r="F188"/>
  <c r="F189"/>
  <c r="F190"/>
  <c r="F192"/>
  <c r="F193"/>
  <c r="F196"/>
  <c r="F207" i="19" s="1"/>
  <c r="G207" s="1"/>
  <c r="H209" s="1"/>
  <c r="H210" s="1"/>
  <c r="F197" i="13"/>
  <c r="F220" i="19" s="1"/>
  <c r="G220" s="1"/>
  <c r="H222" s="1"/>
  <c r="H223" s="1"/>
  <c r="H224" s="1"/>
  <c r="H225" s="1"/>
  <c r="B225" s="1"/>
  <c r="D225" s="1"/>
  <c r="F198" i="13"/>
  <c r="F199"/>
  <c r="F51" i="19" s="1"/>
  <c r="G51" s="1"/>
  <c r="H55" s="1"/>
  <c r="H56" s="1"/>
  <c r="H57" s="1"/>
  <c r="H58" s="1"/>
  <c r="B58" s="1"/>
  <c r="F200" i="13"/>
  <c r="F70" i="19" s="1"/>
  <c r="G70" s="1"/>
  <c r="H73" s="1"/>
  <c r="H74" s="1"/>
  <c r="H75" s="1"/>
  <c r="H76" s="1"/>
  <c r="B76" s="1"/>
  <c r="F201" i="13"/>
  <c r="F34" i="19" s="1"/>
  <c r="G34" s="1"/>
  <c r="H37" s="1"/>
  <c r="H38" s="1"/>
  <c r="H39" s="1"/>
  <c r="H40" s="1"/>
  <c r="B40" s="1"/>
  <c r="F202" i="13"/>
  <c r="F203"/>
  <c r="F204"/>
  <c r="F205"/>
  <c r="F206"/>
  <c r="F207"/>
  <c r="F208"/>
  <c r="F209"/>
  <c r="F210"/>
  <c r="F211"/>
  <c r="F212"/>
  <c r="F213"/>
  <c r="F214"/>
  <c r="F215"/>
  <c r="F169" i="19" s="1"/>
  <c r="G169" s="1"/>
  <c r="H170" s="1"/>
  <c r="H171" s="1"/>
  <c r="H172" s="1"/>
  <c r="H173" s="1"/>
  <c r="B173" s="1"/>
  <c r="F216" i="13"/>
  <c r="F156" i="19" s="1"/>
  <c r="G156" s="1"/>
  <c r="H157" s="1"/>
  <c r="H158" s="1"/>
  <c r="H159" s="1"/>
  <c r="H160" s="1"/>
  <c r="B160" s="1"/>
  <c r="F217" i="13"/>
  <c r="F184" i="19" s="1"/>
  <c r="G184" s="1"/>
  <c r="H185" s="1"/>
  <c r="H186" s="1"/>
  <c r="H187" s="1"/>
  <c r="H188" s="1"/>
  <c r="B188" s="1"/>
  <c r="F218" i="13"/>
  <c r="F219"/>
  <c r="F114" i="10" s="1"/>
  <c r="G114" s="1"/>
  <c r="F220" i="13"/>
  <c r="F286" i="19" s="1"/>
  <c r="G286" s="1"/>
  <c r="F221" i="13"/>
  <c r="F222"/>
  <c r="F315" i="19" s="1"/>
  <c r="G315" s="1"/>
  <c r="F225" i="13"/>
  <c r="F226"/>
  <c r="F4319" i="10" s="1"/>
  <c r="F227" i="13"/>
  <c r="F228"/>
  <c r="F4318" i="10" s="1"/>
  <c r="F229" i="13"/>
  <c r="F230"/>
  <c r="F231"/>
  <c r="F232"/>
  <c r="F366" i="19" s="1"/>
  <c r="G366" s="1"/>
  <c r="H366" s="1"/>
  <c r="H367" s="1"/>
  <c r="H368" s="1"/>
  <c r="H369" s="1"/>
  <c r="B369" s="1"/>
  <c r="D369" s="1"/>
  <c r="F234" i="13"/>
  <c r="F235"/>
  <c r="G4319" i="10" s="1"/>
  <c r="F236" i="13"/>
  <c r="F237"/>
  <c r="F238"/>
  <c r="F240"/>
  <c r="F241"/>
  <c r="F242"/>
  <c r="F243"/>
  <c r="F244"/>
  <c r="F245"/>
  <c r="F247"/>
  <c r="F248"/>
  <c r="F249"/>
  <c r="F251"/>
  <c r="F252"/>
  <c r="F253"/>
  <c r="F4359" i="10" s="1"/>
  <c r="G4359" s="1"/>
  <c r="H4359" s="1"/>
  <c r="H4360" s="1"/>
  <c r="H4361" s="1"/>
  <c r="H4362" s="1"/>
  <c r="B4362" s="1"/>
  <c r="E338" i="3" s="1"/>
  <c r="F254" i="13"/>
  <c r="F255"/>
  <c r="F256"/>
  <c r="F257"/>
  <c r="F258"/>
  <c r="F259"/>
  <c r="F260"/>
  <c r="F261"/>
  <c r="F262"/>
  <c r="F263"/>
  <c r="F264"/>
  <c r="F266"/>
  <c r="F567" i="10" s="1"/>
  <c r="G567" s="1"/>
  <c r="F267" i="13"/>
  <c r="F268"/>
  <c r="F269"/>
  <c r="F270"/>
  <c r="F271"/>
  <c r="F272"/>
  <c r="F273"/>
  <c r="F274"/>
  <c r="F275"/>
  <c r="F276"/>
  <c r="F277"/>
  <c r="F278"/>
  <c r="F282"/>
  <c r="F283"/>
  <c r="F285"/>
  <c r="F286"/>
  <c r="F287"/>
  <c r="F289"/>
  <c r="F290"/>
  <c r="F291"/>
  <c r="F292"/>
  <c r="F293"/>
  <c r="F294"/>
  <c r="F295"/>
  <c r="F296"/>
  <c r="F297"/>
  <c r="F298"/>
  <c r="F299"/>
  <c r="F300"/>
  <c r="F301"/>
  <c r="F302"/>
  <c r="F303"/>
  <c r="F304"/>
  <c r="F305"/>
  <c r="F306"/>
  <c r="F307"/>
  <c r="F308"/>
  <c r="F309"/>
  <c r="F310"/>
  <c r="F311"/>
  <c r="F312"/>
  <c r="F313"/>
  <c r="F570" i="10" s="1"/>
  <c r="G570" s="1"/>
  <c r="F315" i="13"/>
  <c r="F316"/>
  <c r="F4168" i="10" s="1"/>
  <c r="G4168" s="1"/>
  <c r="H4169" s="1"/>
  <c r="F317" i="13"/>
  <c r="F318"/>
  <c r="F319"/>
  <c r="F320"/>
  <c r="F321"/>
  <c r="F4151" i="10" s="1"/>
  <c r="F322" i="13"/>
  <c r="F324"/>
  <c r="F325"/>
  <c r="F327"/>
  <c r="F328"/>
  <c r="F331"/>
  <c r="F238" i="19" s="1"/>
  <c r="G238" s="1"/>
  <c r="H239" s="1"/>
  <c r="H240" s="1"/>
  <c r="H241" s="1"/>
  <c r="H242" s="1"/>
  <c r="B242" s="1"/>
  <c r="F332" i="13"/>
  <c r="F252" i="19" s="1"/>
  <c r="G252" s="1"/>
  <c r="H253" s="1"/>
  <c r="H254" s="1"/>
  <c r="H255" s="1"/>
  <c r="H256" s="1"/>
  <c r="B256" s="1"/>
  <c r="F333" i="13"/>
  <c r="F336"/>
  <c r="F377" i="19" s="1"/>
  <c r="G377" s="1"/>
  <c r="H377" s="1"/>
  <c r="H378" s="1"/>
  <c r="H379" s="1"/>
  <c r="H380" s="1"/>
  <c r="B380" s="1"/>
  <c r="D380" s="1"/>
  <c r="F337" i="13"/>
  <c r="F388" i="19" s="1"/>
  <c r="G388" s="1"/>
  <c r="H388" s="1"/>
  <c r="H389" s="1"/>
  <c r="H390" s="1"/>
  <c r="H391" s="1"/>
  <c r="B391" s="1"/>
  <c r="D391" s="1"/>
  <c r="F338" i="13"/>
  <c r="F399" i="19" s="1"/>
  <c r="G399" s="1"/>
  <c r="H399" s="1"/>
  <c r="H400" s="1"/>
  <c r="H401" s="1"/>
  <c r="H402" s="1"/>
  <c r="B402" s="1"/>
  <c r="D402" s="1"/>
  <c r="F340" i="13"/>
  <c r="F409" i="19" s="1"/>
  <c r="G409" s="1"/>
  <c r="H409" s="1"/>
  <c r="H410" s="1"/>
  <c r="H411" s="1"/>
  <c r="H412" s="1"/>
  <c r="B412" s="1"/>
  <c r="D412" s="1"/>
  <c r="F341" i="13"/>
  <c r="F343"/>
  <c r="F4690" i="10" s="1"/>
  <c r="F344" i="13"/>
  <c r="F4700" i="10" s="1"/>
  <c r="G4700" s="1"/>
  <c r="H4700" s="1"/>
  <c r="H4701" s="1"/>
  <c r="H4702" s="1"/>
  <c r="H4703" s="1"/>
  <c r="B4703" s="1"/>
  <c r="F345" i="13"/>
  <c r="F4711" i="10" s="1"/>
  <c r="F346" i="13"/>
  <c r="F4722" i="10" s="1"/>
  <c r="G4722" s="1"/>
  <c r="H4722" s="1"/>
  <c r="H4723" s="1"/>
  <c r="H4724" s="1"/>
  <c r="H4725" s="1"/>
  <c r="B4725" s="1"/>
  <c r="F347" i="13"/>
  <c r="F4736" i="10" s="1"/>
  <c r="F355" i="13"/>
  <c r="F356"/>
  <c r="F357"/>
  <c r="F358"/>
  <c r="F3802" i="10" s="1"/>
  <c r="G3802" s="1"/>
  <c r="H3803" s="1"/>
  <c r="H3804" s="1"/>
  <c r="H3805" s="1"/>
  <c r="H3806" s="1"/>
  <c r="B3806" s="1"/>
  <c r="E282" i="3" s="1"/>
  <c r="F359" i="13"/>
  <c r="F360"/>
  <c r="F361"/>
  <c r="F362"/>
  <c r="F3858" i="10" s="1"/>
  <c r="G3858" s="1"/>
  <c r="H3859" s="1"/>
  <c r="H3860" s="1"/>
  <c r="H3861" s="1"/>
  <c r="H3862" s="1"/>
  <c r="B3862" s="1"/>
  <c r="E290" i="3" s="1"/>
  <c r="F364" i="13"/>
  <c r="F365"/>
  <c r="F366"/>
  <c r="F367"/>
  <c r="F368"/>
  <c r="F369"/>
  <c r="F370"/>
  <c r="F374"/>
  <c r="F376"/>
  <c r="F378"/>
  <c r="F380"/>
  <c r="F382"/>
  <c r="F384"/>
  <c r="F386"/>
  <c r="F388"/>
  <c r="F2982" i="10" s="1"/>
  <c r="G2982" s="1"/>
  <c r="F390" i="13"/>
  <c r="F392"/>
  <c r="F394"/>
  <c r="F396"/>
  <c r="F398"/>
  <c r="F400"/>
  <c r="F402"/>
  <c r="F404"/>
  <c r="F406"/>
  <c r="F409"/>
  <c r="F411"/>
  <c r="F414"/>
  <c r="F416"/>
  <c r="F3812" i="10" s="1"/>
  <c r="G3812" s="1"/>
  <c r="H3813" s="1"/>
  <c r="H3814" s="1"/>
  <c r="H3815" s="1"/>
  <c r="H3816" s="1"/>
  <c r="B3816" s="1"/>
  <c r="E286" i="3" s="1"/>
  <c r="F417" i="13"/>
  <c r="F3824" i="10" s="1"/>
  <c r="G3824" s="1"/>
  <c r="H3825" s="1"/>
  <c r="H3826" s="1"/>
  <c r="H3827" s="1"/>
  <c r="H3828" s="1"/>
  <c r="B3828" s="1"/>
  <c r="E287" i="3" s="1"/>
  <c r="F418" i="13"/>
  <c r="F419"/>
  <c r="F3834" i="10" s="1"/>
  <c r="G3834" s="1"/>
  <c r="H3835" s="1"/>
  <c r="H3836" s="1"/>
  <c r="H3837" s="1"/>
  <c r="H3838" s="1"/>
  <c r="B3838" s="1"/>
  <c r="E288" i="3" s="1"/>
  <c r="F420" i="13"/>
  <c r="F3845" i="10" s="1"/>
  <c r="G3845" s="1"/>
  <c r="H3846" s="1"/>
  <c r="H3847" s="1"/>
  <c r="H3848" s="1"/>
  <c r="H3849" s="1"/>
  <c r="B3849" s="1"/>
  <c r="E289" i="3" s="1"/>
  <c r="F421" i="13"/>
  <c r="F422"/>
  <c r="F424"/>
  <c r="F425"/>
  <c r="F426"/>
  <c r="F429"/>
  <c r="F430"/>
  <c r="F431"/>
  <c r="F433"/>
  <c r="F434"/>
  <c r="F435"/>
  <c r="F437"/>
  <c r="F2442" i="10" s="1"/>
  <c r="G2442" s="1"/>
  <c r="F438" i="13"/>
  <c r="F439"/>
  <c r="F440"/>
  <c r="F441"/>
  <c r="F442"/>
  <c r="F444"/>
  <c r="F445"/>
  <c r="F446"/>
  <c r="F447"/>
  <c r="F448"/>
  <c r="F449"/>
  <c r="F451"/>
  <c r="F452"/>
  <c r="F453"/>
  <c r="F454"/>
  <c r="F455"/>
  <c r="F456"/>
  <c r="F458"/>
  <c r="F459"/>
  <c r="F460"/>
  <c r="F461"/>
  <c r="F462"/>
  <c r="F463"/>
  <c r="F465"/>
  <c r="F466"/>
  <c r="F467"/>
  <c r="F468"/>
  <c r="F469"/>
  <c r="F470"/>
  <c r="F471"/>
  <c r="F474"/>
  <c r="F450" i="19" s="1"/>
  <c r="G450" s="1"/>
  <c r="H451" s="1"/>
  <c r="H452" s="1"/>
  <c r="H453" s="1"/>
  <c r="H454" s="1"/>
  <c r="B454" s="1"/>
  <c r="E556" i="3" s="1"/>
  <c r="F475" i="13"/>
  <c r="F467" i="19" s="1"/>
  <c r="G467" s="1"/>
  <c r="H468" s="1"/>
  <c r="H469" s="1"/>
  <c r="H470" s="1"/>
  <c r="H471" s="1"/>
  <c r="B471" s="1"/>
  <c r="E557" i="3" s="1"/>
  <c r="F476" i="13"/>
  <c r="F499" i="19" s="1"/>
  <c r="G499" s="1"/>
  <c r="H500" s="1"/>
  <c r="H501" s="1"/>
  <c r="H502" s="1"/>
  <c r="H503" s="1"/>
  <c r="B503" s="1"/>
  <c r="F477" i="13"/>
  <c r="F516" i="19" s="1"/>
  <c r="G516" s="1"/>
  <c r="H517" s="1"/>
  <c r="H518" s="1"/>
  <c r="H519" s="1"/>
  <c r="H520" s="1"/>
  <c r="B520" s="1"/>
  <c r="E559" i="3" s="1"/>
  <c r="F478" i="13"/>
  <c r="F548" i="19" s="1"/>
  <c r="G548" s="1"/>
  <c r="H549" s="1"/>
  <c r="H550" s="1"/>
  <c r="H551" s="1"/>
  <c r="H552" s="1"/>
  <c r="B552" s="1"/>
  <c r="F479" i="13"/>
  <c r="F565" i="19" s="1"/>
  <c r="G565" s="1"/>
  <c r="H566" s="1"/>
  <c r="H567" s="1"/>
  <c r="H568" s="1"/>
  <c r="H569" s="1"/>
  <c r="B569" s="1"/>
  <c r="F480" i="13"/>
  <c r="F670" i="19" s="1"/>
  <c r="G670" s="1"/>
  <c r="H671" s="1"/>
  <c r="H672" s="1"/>
  <c r="H673" s="1"/>
  <c r="H674" s="1"/>
  <c r="B674" s="1"/>
  <c r="E562" i="3" s="1"/>
  <c r="F481" i="13"/>
  <c r="F687" i="19" s="1"/>
  <c r="G687" s="1"/>
  <c r="H688" s="1"/>
  <c r="H689" s="1"/>
  <c r="H690" s="1"/>
  <c r="H691" s="1"/>
  <c r="B691" s="1"/>
  <c r="E563" i="3" s="1"/>
  <c r="F482" i="13"/>
  <c r="F704" i="19" s="1"/>
  <c r="G704" s="1"/>
  <c r="H705" s="1"/>
  <c r="H706" s="1"/>
  <c r="H707" s="1"/>
  <c r="H708" s="1"/>
  <c r="B708" s="1"/>
  <c r="E564" i="3" s="1"/>
  <c r="A478"/>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5" s="1"/>
  <c r="A546" s="1"/>
  <c r="A547" s="1"/>
  <c r="A548" s="1"/>
  <c r="A549" s="1"/>
  <c r="A550" s="1"/>
  <c r="A551" s="1"/>
  <c r="A552" s="1"/>
  <c r="A553" s="1"/>
  <c r="A554" s="1"/>
  <c r="A555" s="1"/>
  <c r="A556" s="1"/>
  <c r="A557" s="1"/>
  <c r="A558" s="1"/>
  <c r="A559" s="1"/>
  <c r="A560" s="1"/>
  <c r="A561" s="1"/>
  <c r="A562" s="1"/>
  <c r="A563" s="1"/>
  <c r="A564" s="1"/>
  <c r="A565" s="1"/>
  <c r="F4292" i="10"/>
  <c r="G4292" s="1"/>
  <c r="F46" i="13"/>
  <c r="E47"/>
  <c r="F47" s="1"/>
  <c r="F4295" i="10" s="1"/>
  <c r="G4295" s="1"/>
  <c r="E560" i="3"/>
  <c r="F13" i="16"/>
  <c r="F14"/>
  <c r="F17"/>
  <c r="F18"/>
  <c r="F19"/>
  <c r="F21"/>
  <c r="F22"/>
  <c r="F23"/>
  <c r="F24"/>
  <c r="F26"/>
  <c r="F27"/>
  <c r="F25" s="1"/>
  <c r="F28"/>
  <c r="F33"/>
  <c r="F34"/>
  <c r="F35"/>
  <c r="F36"/>
  <c r="F38"/>
  <c r="F39"/>
  <c r="F40"/>
  <c r="F41"/>
  <c r="F44"/>
  <c r="F45"/>
  <c r="F46"/>
  <c r="F47"/>
  <c r="F52"/>
  <c r="F458"/>
  <c r="F64"/>
  <c r="G64"/>
  <c r="F54"/>
  <c r="G54"/>
  <c r="A403" i="18"/>
  <c r="A404"/>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946"/>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42"/>
  <c r="A943" s="1"/>
  <c r="A936"/>
  <c r="A937" s="1"/>
  <c r="A938" s="1"/>
  <c r="A939" s="1"/>
  <c r="A928"/>
  <c r="A929" s="1"/>
  <c r="A930" s="1"/>
  <c r="A931" s="1"/>
  <c r="A932" s="1"/>
  <c r="A933" s="1"/>
  <c r="A922"/>
  <c r="A923" s="1"/>
  <c r="A924" s="1"/>
  <c r="A925" s="1"/>
  <c r="A913"/>
  <c r="A914" s="1"/>
  <c r="A915" s="1"/>
  <c r="A916" s="1"/>
  <c r="A917" s="1"/>
  <c r="A918" s="1"/>
  <c r="A906"/>
  <c r="A907" s="1"/>
  <c r="A908" s="1"/>
  <c r="A909" s="1"/>
  <c r="A898"/>
  <c r="A899" s="1"/>
  <c r="A900" s="1"/>
  <c r="A901" s="1"/>
  <c r="A902" s="1"/>
  <c r="A893"/>
  <c r="A894" s="1"/>
  <c r="A866"/>
  <c r="A867" s="1"/>
  <c r="A868" s="1"/>
  <c r="A869" s="1"/>
  <c r="A870" s="1"/>
  <c r="A871" s="1"/>
  <c r="A872" s="1"/>
  <c r="A873" s="1"/>
  <c r="A874" s="1"/>
  <c r="A875" s="1"/>
  <c r="A876" s="1"/>
  <c r="A877" s="1"/>
  <c r="A878" s="1"/>
  <c r="A879" s="1"/>
  <c r="A880" s="1"/>
  <c r="A881" s="1"/>
  <c r="A882" s="1"/>
  <c r="A883" s="1"/>
  <c r="A884" s="1"/>
  <c r="A885" s="1"/>
  <c r="A886" s="1"/>
  <c r="A887" s="1"/>
  <c r="A857"/>
  <c r="A858" s="1"/>
  <c r="A859" s="1"/>
  <c r="A860" s="1"/>
  <c r="A861" s="1"/>
  <c r="A862" s="1"/>
  <c r="A863" s="1"/>
  <c r="A848"/>
  <c r="A849" s="1"/>
  <c r="A850" s="1"/>
  <c r="A851" s="1"/>
  <c r="A852" s="1"/>
  <c r="A853" s="1"/>
  <c r="A854" s="1"/>
  <c r="A838"/>
  <c r="A839"/>
  <c r="A840" s="1"/>
  <c r="A841" s="1"/>
  <c r="A842" s="1"/>
  <c r="A843" s="1"/>
  <c r="A844" s="1"/>
  <c r="A845" s="1"/>
  <c r="A828"/>
  <c r="A829" s="1"/>
  <c r="A830" s="1"/>
  <c r="A831" s="1"/>
  <c r="A832" s="1"/>
  <c r="A833" s="1"/>
  <c r="A834" s="1"/>
  <c r="A835" s="1"/>
  <c r="A819"/>
  <c r="A820" s="1"/>
  <c r="A821" s="1"/>
  <c r="A822" s="1"/>
  <c r="A823" s="1"/>
  <c r="A824" s="1"/>
  <c r="A825" s="1"/>
  <c r="A812"/>
  <c r="A813" s="1"/>
  <c r="A814" s="1"/>
  <c r="A815" s="1"/>
  <c r="A816" s="1"/>
  <c r="A794"/>
  <c r="A795" s="1"/>
  <c r="A796" s="1"/>
  <c r="A797" s="1"/>
  <c r="A798" s="1"/>
  <c r="A799" s="1"/>
  <c r="A800" s="1"/>
  <c r="A801" s="1"/>
  <c r="A802" s="1"/>
  <c r="A803" s="1"/>
  <c r="A804" s="1"/>
  <c r="A805" s="1"/>
  <c r="A806" s="1"/>
  <c r="A807" s="1"/>
  <c r="A808" s="1"/>
  <c r="A809" s="1"/>
  <c r="A773"/>
  <c r="A774" s="1"/>
  <c r="A775" s="1"/>
  <c r="A776" s="1"/>
  <c r="A777" s="1"/>
  <c r="A778" s="1"/>
  <c r="A779" s="1"/>
  <c r="A780" s="1"/>
  <c r="A781" s="1"/>
  <c r="A782" s="1"/>
  <c r="A783" s="1"/>
  <c r="A784" s="1"/>
  <c r="A785" s="1"/>
  <c r="A786" s="1"/>
  <c r="A787" s="1"/>
  <c r="A788" s="1"/>
  <c r="A789" s="1"/>
  <c r="A790" s="1"/>
  <c r="A791" s="1"/>
  <c r="A760"/>
  <c r="A761" s="1"/>
  <c r="A762" s="1"/>
  <c r="A763" s="1"/>
  <c r="A764" s="1"/>
  <c r="A765" s="1"/>
  <c r="A766" s="1"/>
  <c r="A767" s="1"/>
  <c r="A768" s="1"/>
  <c r="A769" s="1"/>
  <c r="A770" s="1"/>
  <c r="F1325" i="10"/>
  <c r="G1325" s="1"/>
  <c r="F7"/>
  <c r="G7" s="1"/>
  <c r="H8" s="1"/>
  <c r="F1324"/>
  <c r="G1324" s="1"/>
  <c r="F3553"/>
  <c r="G3553" s="1"/>
  <c r="F3554"/>
  <c r="G3554" s="1"/>
  <c r="F3551"/>
  <c r="G3551" s="1"/>
  <c r="F3552"/>
  <c r="G3552" s="1"/>
  <c r="F2549"/>
  <c r="G2549" s="1"/>
  <c r="F2551"/>
  <c r="G2551" s="1"/>
  <c r="F2554"/>
  <c r="G2554" s="1"/>
  <c r="F3565"/>
  <c r="G3565" s="1"/>
  <c r="H3565" s="1"/>
  <c r="H3566" s="1"/>
  <c r="H3567" s="1"/>
  <c r="H3568" s="1"/>
  <c r="B3568" s="1"/>
  <c r="D3568" s="1"/>
  <c r="F3577"/>
  <c r="G3577" s="1"/>
  <c r="H3577" s="1"/>
  <c r="H3578" s="1"/>
  <c r="H3579" s="1"/>
  <c r="H3580" s="1"/>
  <c r="B3580" s="1"/>
  <c r="D3580" s="1"/>
  <c r="F3587"/>
  <c r="G3587" s="1"/>
  <c r="H3587" s="1"/>
  <c r="H3588" s="1"/>
  <c r="H3589" s="1"/>
  <c r="H3590" s="1"/>
  <c r="B3590" s="1"/>
  <c r="D3590" s="1"/>
  <c r="F3600"/>
  <c r="G3600" s="1"/>
  <c r="H3600" s="1"/>
  <c r="H3601" s="1"/>
  <c r="H3602" s="1"/>
  <c r="H3603" s="1"/>
  <c r="B3603" s="1"/>
  <c r="D3603" s="1"/>
  <c r="F3610"/>
  <c r="G3610" s="1"/>
  <c r="H3610" s="1"/>
  <c r="H3611" s="1"/>
  <c r="H3612" s="1"/>
  <c r="H3613" s="1"/>
  <c r="B3613" s="1"/>
  <c r="D3613" s="1"/>
  <c r="E534" i="3"/>
  <c r="E312" i="18" s="1"/>
  <c r="E535" i="3"/>
  <c r="E313" i="18" s="1"/>
  <c r="E537" i="3"/>
  <c r="E315" i="18" s="1"/>
  <c r="F3622" i="10"/>
  <c r="G3622" s="1"/>
  <c r="H3622" s="1"/>
  <c r="H3623" s="1"/>
  <c r="H3624" s="1"/>
  <c r="H3625" s="1"/>
  <c r="B3625" s="1"/>
  <c r="D3625" s="1"/>
  <c r="F2500"/>
  <c r="G2500" s="1"/>
  <c r="F2501"/>
  <c r="G2501" s="1"/>
  <c r="H2505" s="1"/>
  <c r="F2502"/>
  <c r="G2502" s="1"/>
  <c r="F2503"/>
  <c r="G2503" s="1"/>
  <c r="F2504"/>
  <c r="G2504" s="1"/>
  <c r="F2518"/>
  <c r="G2518" s="1"/>
  <c r="F2519"/>
  <c r="G2519" s="1"/>
  <c r="F2520"/>
  <c r="G2520" s="1"/>
  <c r="F2521"/>
  <c r="G2521" s="1"/>
  <c r="F2522"/>
  <c r="G2522" s="1"/>
  <c r="F2531"/>
  <c r="G2531" s="1"/>
  <c r="F2532"/>
  <c r="G2532" s="1"/>
  <c r="F2533"/>
  <c r="G2533" s="1"/>
  <c r="F2534"/>
  <c r="G2534" s="1"/>
  <c r="F2535"/>
  <c r="G2535" s="1"/>
  <c r="A216" i="18"/>
  <c r="A217" s="1"/>
  <c r="A218" s="1"/>
  <c r="A219" s="1"/>
  <c r="A220" s="1"/>
  <c r="A221" s="1"/>
  <c r="A222"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F4455" i="10"/>
  <c r="G4455" s="1"/>
  <c r="F4456"/>
  <c r="G4456" s="1"/>
  <c r="F1515"/>
  <c r="G1515" s="1"/>
  <c r="F1516"/>
  <c r="G1516" s="1"/>
  <c r="F1517"/>
  <c r="G1517" s="1"/>
  <c r="F1519"/>
  <c r="G1519" s="1"/>
  <c r="F4459"/>
  <c r="G4459" s="1"/>
  <c r="F4460"/>
  <c r="G4460" s="1"/>
  <c r="F4461"/>
  <c r="G4461" s="1"/>
  <c r="G4462"/>
  <c r="F4473"/>
  <c r="G4473" s="1"/>
  <c r="F4474"/>
  <c r="G4474" s="1"/>
  <c r="F4476"/>
  <c r="G4476" s="1"/>
  <c r="F4477"/>
  <c r="G4477" s="1"/>
  <c r="F4478"/>
  <c r="G4478" s="1"/>
  <c r="F4479"/>
  <c r="G4479" s="1"/>
  <c r="F4480"/>
  <c r="G4480" s="1"/>
  <c r="F4276"/>
  <c r="F4294" s="1"/>
  <c r="G4294" s="1"/>
  <c r="F4150"/>
  <c r="G4150" s="1"/>
  <c r="G4307"/>
  <c r="G2001"/>
  <c r="H2003" s="1"/>
  <c r="F1999"/>
  <c r="G1999" s="1"/>
  <c r="F2000"/>
  <c r="G2000" s="1"/>
  <c r="F2016"/>
  <c r="G2016" s="1"/>
  <c r="H2018" s="1"/>
  <c r="F2014"/>
  <c r="G2014" s="1"/>
  <c r="F2015"/>
  <c r="G2015" s="1"/>
  <c r="F1923"/>
  <c r="G1923" s="1"/>
  <c r="F1924"/>
  <c r="G1924" s="1"/>
  <c r="F1925"/>
  <c r="G1925" s="1"/>
  <c r="F1926"/>
  <c r="G1926" s="1"/>
  <c r="F1928"/>
  <c r="G1928" s="1"/>
  <c r="F1929"/>
  <c r="G1929" s="1"/>
  <c r="F1930"/>
  <c r="G1930" s="1"/>
  <c r="F1940"/>
  <c r="G1940" s="1"/>
  <c r="F1941"/>
  <c r="G1941" s="1"/>
  <c r="F1942"/>
  <c r="G1942" s="1"/>
  <c r="F1943"/>
  <c r="G1943" s="1"/>
  <c r="F1945"/>
  <c r="G1945" s="1"/>
  <c r="F1946"/>
  <c r="G1946" s="1"/>
  <c r="F1947"/>
  <c r="G1947" s="1"/>
  <c r="F1961"/>
  <c r="G1961" s="1"/>
  <c r="F1962"/>
  <c r="G1962" s="1"/>
  <c r="F1963"/>
  <c r="G1963" s="1"/>
  <c r="F1964"/>
  <c r="G1964" s="1"/>
  <c r="F1966"/>
  <c r="G1966" s="1"/>
  <c r="F1967"/>
  <c r="G1967" s="1"/>
  <c r="F1968"/>
  <c r="G1968" s="1"/>
  <c r="F1978"/>
  <c r="G1978" s="1"/>
  <c r="F1979"/>
  <c r="G1979" s="1"/>
  <c r="F1980"/>
  <c r="G1980" s="1"/>
  <c r="F1981"/>
  <c r="G1981" s="1"/>
  <c r="F1983"/>
  <c r="G1983" s="1"/>
  <c r="F1984"/>
  <c r="G1984" s="1"/>
  <c r="F1985"/>
  <c r="G1985" s="1"/>
  <c r="F1856"/>
  <c r="G1856" s="1"/>
  <c r="F1857"/>
  <c r="G1857" s="1"/>
  <c r="F1858"/>
  <c r="G1858" s="1"/>
  <c r="F1859"/>
  <c r="G1859" s="1"/>
  <c r="F1860"/>
  <c r="G1860" s="1"/>
  <c r="F1863"/>
  <c r="G1863" s="1"/>
  <c r="F1864"/>
  <c r="G1864" s="1"/>
  <c r="F1865"/>
  <c r="G1865" s="1"/>
  <c r="F1880"/>
  <c r="G1880" s="1"/>
  <c r="F1881"/>
  <c r="G1881" s="1"/>
  <c r="F1882"/>
  <c r="G1882" s="1"/>
  <c r="F1883"/>
  <c r="G1883" s="1"/>
  <c r="F1884"/>
  <c r="G1884" s="1"/>
  <c r="F1887"/>
  <c r="G1887" s="1"/>
  <c r="F1888"/>
  <c r="G1888" s="1"/>
  <c r="F1889"/>
  <c r="G1889" s="1"/>
  <c r="F1899"/>
  <c r="G1899" s="1"/>
  <c r="F1900"/>
  <c r="G1900" s="1"/>
  <c r="F1901"/>
  <c r="G1901" s="1"/>
  <c r="F1902"/>
  <c r="G1902" s="1"/>
  <c r="F1903"/>
  <c r="G1903" s="1"/>
  <c r="F1906"/>
  <c r="G1906" s="1"/>
  <c r="F1907"/>
  <c r="G1907" s="1"/>
  <c r="F1908"/>
  <c r="G1908" s="1"/>
  <c r="E503" i="3"/>
  <c r="E281" i="18" s="1"/>
  <c r="E504" i="3"/>
  <c r="E282" i="18" s="1"/>
  <c r="E497" i="3"/>
  <c r="E275" i="18" s="1"/>
  <c r="E498" i="3"/>
  <c r="E276" i="18" s="1"/>
  <c r="G4711" i="10"/>
  <c r="H4711" s="1"/>
  <c r="H4712" s="1"/>
  <c r="H4713" s="1"/>
  <c r="H4714" s="1"/>
  <c r="B4714" s="1"/>
  <c r="E499" i="3"/>
  <c r="E277" i="18" s="1"/>
  <c r="G4747" i="10"/>
  <c r="H4747" s="1"/>
  <c r="H4748" s="1"/>
  <c r="H4749" s="1"/>
  <c r="H4750" s="1"/>
  <c r="B4750" s="1"/>
  <c r="E500" i="3"/>
  <c r="E278" i="18" s="1"/>
  <c r="E501" i="3"/>
  <c r="E279" i="18" s="1"/>
  <c r="G4782" i="10"/>
  <c r="H4782" s="1"/>
  <c r="H4783" s="1"/>
  <c r="H4784" s="1"/>
  <c r="H4785" s="1"/>
  <c r="B4785" s="1"/>
  <c r="E502" i="3"/>
  <c r="E280" i="18" s="1"/>
  <c r="F1430" i="10"/>
  <c r="G1430" s="1"/>
  <c r="F3954"/>
  <c r="G3954" s="1"/>
  <c r="F3982"/>
  <c r="G3982" s="1"/>
  <c r="F3983"/>
  <c r="G3983" s="1"/>
  <c r="E480" i="3"/>
  <c r="E258" i="18" s="1"/>
  <c r="F2991" i="10"/>
  <c r="G2991" s="1"/>
  <c r="H2992" s="1"/>
  <c r="H2993" s="1"/>
  <c r="H2994" s="1"/>
  <c r="H2995" s="1"/>
  <c r="B2995" s="1"/>
  <c r="E487" i="3"/>
  <c r="E265" i="18" s="1"/>
  <c r="E488" i="3"/>
  <c r="E266" i="18" s="1"/>
  <c r="F3636" i="10"/>
  <c r="G3636" s="1"/>
  <c r="F3637"/>
  <c r="G3637" s="1"/>
  <c r="F3638"/>
  <c r="G3638" s="1"/>
  <c r="F3639"/>
  <c r="G3639" s="1"/>
  <c r="F3634"/>
  <c r="G3634" s="1"/>
  <c r="F3635"/>
  <c r="G3635" s="1"/>
  <c r="F3655"/>
  <c r="G3655" s="1"/>
  <c r="F3650"/>
  <c r="G3650" s="1"/>
  <c r="F3651"/>
  <c r="G3651" s="1"/>
  <c r="E491" i="3"/>
  <c r="E269" i="18" s="1"/>
  <c r="F3788" i="10"/>
  <c r="G3788" s="1"/>
  <c r="H3789" s="1"/>
  <c r="H3790" s="1"/>
  <c r="H3791" s="1"/>
  <c r="H3792" s="1"/>
  <c r="B3792" s="1"/>
  <c r="F4180"/>
  <c r="G4180" s="1"/>
  <c r="H4181" s="1"/>
  <c r="H4182" s="1"/>
  <c r="H4183" s="1"/>
  <c r="H4184" s="1"/>
  <c r="B4184" s="1"/>
  <c r="D4184" s="1"/>
  <c r="F2484"/>
  <c r="G2484" s="1"/>
  <c r="F2485"/>
  <c r="G2485" s="1"/>
  <c r="F2486"/>
  <c r="G2486" s="1"/>
  <c r="F2487"/>
  <c r="G2487" s="1"/>
  <c r="F2488"/>
  <c r="G2488" s="1"/>
  <c r="E496" i="3"/>
  <c r="E274" i="18" s="1"/>
  <c r="F1429" i="10"/>
  <c r="G1429" s="1"/>
  <c r="F1432"/>
  <c r="G1432" s="1"/>
  <c r="F1433"/>
  <c r="G1433" s="1"/>
  <c r="F1434"/>
  <c r="G1434" s="1"/>
  <c r="F1446"/>
  <c r="G1446" s="1"/>
  <c r="F1447"/>
  <c r="G1447" s="1"/>
  <c r="F4293"/>
  <c r="G4293" s="1"/>
  <c r="F4254"/>
  <c r="G4254" s="1"/>
  <c r="F4255"/>
  <c r="G4255" s="1"/>
  <c r="G4258"/>
  <c r="H4259" s="1"/>
  <c r="E457" i="3"/>
  <c r="E235" i="18" s="1"/>
  <c r="E458" i="3"/>
  <c r="E236" i="18" s="1"/>
  <c r="E459" i="3"/>
  <c r="E237" i="18" s="1"/>
  <c r="F3391" i="10"/>
  <c r="G3391" s="1"/>
  <c r="F3392"/>
  <c r="G3392" s="1"/>
  <c r="F3393"/>
  <c r="G3393" s="1"/>
  <c r="F3394"/>
  <c r="G3394" s="1"/>
  <c r="F3406"/>
  <c r="G3406" s="1"/>
  <c r="F3407"/>
  <c r="G3407" s="1"/>
  <c r="F3408"/>
  <c r="G3408" s="1"/>
  <c r="F3409"/>
  <c r="G3409" s="1"/>
  <c r="F3435"/>
  <c r="G3435" s="1"/>
  <c r="F3436"/>
  <c r="G3436" s="1"/>
  <c r="F3438"/>
  <c r="G3438" s="1"/>
  <c r="H3438" s="1"/>
  <c r="F3448"/>
  <c r="G3448" s="1"/>
  <c r="F3449"/>
  <c r="G3449" s="1"/>
  <c r="F3451"/>
  <c r="G3451" s="1"/>
  <c r="H3451" s="1"/>
  <c r="F3463"/>
  <c r="G3463" s="1"/>
  <c r="F3464"/>
  <c r="G3464" s="1"/>
  <c r="F3466"/>
  <c r="G3466" s="1"/>
  <c r="H3466" s="1"/>
  <c r="F3476"/>
  <c r="G3476" s="1"/>
  <c r="F3477"/>
  <c r="G3477" s="1"/>
  <c r="F3479"/>
  <c r="G3479" s="1"/>
  <c r="H3480" s="1"/>
  <c r="F3491"/>
  <c r="G3491" s="1"/>
  <c r="F3492"/>
  <c r="G3492" s="1"/>
  <c r="F3494"/>
  <c r="G3494" s="1"/>
  <c r="F3495"/>
  <c r="G3495" s="1"/>
  <c r="F3507"/>
  <c r="G3507" s="1"/>
  <c r="F3508"/>
  <c r="G3508" s="1"/>
  <c r="F3511"/>
  <c r="G3511" s="1"/>
  <c r="F3521"/>
  <c r="G3521" s="1"/>
  <c r="F3522"/>
  <c r="G3522" s="1"/>
  <c r="F3524"/>
  <c r="G3524" s="1"/>
  <c r="H3524" s="1"/>
  <c r="F3535"/>
  <c r="G3535" s="1"/>
  <c r="F3536"/>
  <c r="G3536" s="1"/>
  <c r="F3538"/>
  <c r="G3538" s="1"/>
  <c r="H3538" s="1"/>
  <c r="F4273"/>
  <c r="G4273" s="1"/>
  <c r="F4275"/>
  <c r="F4274" s="1"/>
  <c r="G4274" s="1"/>
  <c r="F4277"/>
  <c r="G4277" s="1"/>
  <c r="G4549"/>
  <c r="G4560"/>
  <c r="G4571"/>
  <c r="H4571" s="1"/>
  <c r="H4573" s="1"/>
  <c r="H4574" s="1"/>
  <c r="H4575" s="1"/>
  <c r="B4575" s="1"/>
  <c r="E359" i="3" s="1"/>
  <c r="G4585" i="10"/>
  <c r="H4586" s="1"/>
  <c r="H4587" s="1"/>
  <c r="H4588" s="1"/>
  <c r="H4589" s="1"/>
  <c r="B4589" s="1"/>
  <c r="E360" i="3" s="1"/>
  <c r="G4598" i="10"/>
  <c r="H4599" s="1"/>
  <c r="H4600" s="1"/>
  <c r="H4601" s="1"/>
  <c r="H4602" s="1"/>
  <c r="B4602" s="1"/>
  <c r="E361" i="3" s="1"/>
  <c r="G4610" i="10"/>
  <c r="H4611" s="1"/>
  <c r="H4612" s="1"/>
  <c r="H4613" s="1"/>
  <c r="H4614" s="1"/>
  <c r="B4614" s="1"/>
  <c r="E362" i="3" s="1"/>
  <c r="G4622" i="10"/>
  <c r="H4622" s="1"/>
  <c r="H4623" s="1"/>
  <c r="H4624" s="1"/>
  <c r="H4625" s="1"/>
  <c r="B4625" s="1"/>
  <c r="E363" i="3" s="1"/>
  <c r="F4134" i="10"/>
  <c r="G4134" s="1"/>
  <c r="H4135" s="1"/>
  <c r="H4136" s="1"/>
  <c r="H4137" s="1"/>
  <c r="H4138" s="1"/>
  <c r="B4138" s="1"/>
  <c r="D4138" s="1"/>
  <c r="F4123"/>
  <c r="G4123" s="1"/>
  <c r="H4124" s="1"/>
  <c r="H4125" s="1"/>
  <c r="H4126" s="1"/>
  <c r="H4127" s="1"/>
  <c r="B4127" s="1"/>
  <c r="D4127" s="1"/>
  <c r="F4202"/>
  <c r="G4202" s="1"/>
  <c r="H4202" s="1"/>
  <c r="H4204" s="1"/>
  <c r="H4205" s="1"/>
  <c r="H4206" s="1"/>
  <c r="B4206" s="1"/>
  <c r="D4206" s="1"/>
  <c r="F4190"/>
  <c r="G4190" s="1"/>
  <c r="H4191" s="1"/>
  <c r="H4192" s="1"/>
  <c r="H4193" s="1"/>
  <c r="H4194" s="1"/>
  <c r="B4194" s="1"/>
  <c r="D4194" s="1"/>
  <c r="F4213"/>
  <c r="G4213" s="1"/>
  <c r="H4214" s="1"/>
  <c r="H4215" s="1"/>
  <c r="H4216" s="1"/>
  <c r="H4217" s="1"/>
  <c r="B4217" s="1"/>
  <c r="D4217" s="1"/>
  <c r="F4224"/>
  <c r="G4224" s="1"/>
  <c r="F4225"/>
  <c r="G4225" s="1"/>
  <c r="F4226"/>
  <c r="G4226" s="1"/>
  <c r="H4228" s="1"/>
  <c r="F4239"/>
  <c r="G4239" s="1"/>
  <c r="F4240"/>
  <c r="G4240" s="1"/>
  <c r="F4242"/>
  <c r="G4242" s="1"/>
  <c r="F4241"/>
  <c r="G4241" s="1"/>
  <c r="F4112"/>
  <c r="G4112" s="1"/>
  <c r="H4113" s="1"/>
  <c r="H4114" s="1"/>
  <c r="H4115" s="1"/>
  <c r="H4116" s="1"/>
  <c r="B4116" s="1"/>
  <c r="D4116" s="1"/>
  <c r="F3422"/>
  <c r="G3422" s="1"/>
  <c r="F3423"/>
  <c r="G3423" s="1"/>
  <c r="F3424"/>
  <c r="G3424" s="1"/>
  <c r="F3425"/>
  <c r="G3425" s="1"/>
  <c r="F3912"/>
  <c r="G3912" s="1"/>
  <c r="H3912" s="1"/>
  <c r="H3914" s="1"/>
  <c r="H3915" s="1"/>
  <c r="H3916" s="1"/>
  <c r="B3916" s="1"/>
  <c r="F3923"/>
  <c r="G3923" s="1"/>
  <c r="F3924"/>
  <c r="G3924" s="1"/>
  <c r="F3868"/>
  <c r="G3868" s="1"/>
  <c r="H3868" s="1"/>
  <c r="H3870" s="1"/>
  <c r="H3871" s="1"/>
  <c r="H3872" s="1"/>
  <c r="B3872" s="1"/>
  <c r="F3878"/>
  <c r="G3878" s="1"/>
  <c r="H3878" s="1"/>
  <c r="H3880" s="1"/>
  <c r="H3881" s="1"/>
  <c r="H3882" s="1"/>
  <c r="B3882" s="1"/>
  <c r="F3889"/>
  <c r="G3889" s="1"/>
  <c r="H3889" s="1"/>
  <c r="H3891" s="1"/>
  <c r="H3892" s="1"/>
  <c r="H3893" s="1"/>
  <c r="B3893" s="1"/>
  <c r="F3901"/>
  <c r="G3901" s="1"/>
  <c r="H3901" s="1"/>
  <c r="H3903" s="1"/>
  <c r="H3904" s="1"/>
  <c r="H3905" s="1"/>
  <c r="B3905" s="1"/>
  <c r="F3935"/>
  <c r="G3935" s="1"/>
  <c r="F3936"/>
  <c r="G3936" s="1"/>
  <c r="F3937"/>
  <c r="G3937" s="1"/>
  <c r="F3938"/>
  <c r="G3938" s="1"/>
  <c r="F3939"/>
  <c r="G3939" s="1"/>
  <c r="F3683"/>
  <c r="G3683" s="1"/>
  <c r="F3684"/>
  <c r="G3684" s="1"/>
  <c r="F3685"/>
  <c r="G3685" s="1"/>
  <c r="F3686"/>
  <c r="G3686" s="1"/>
  <c r="F3687"/>
  <c r="G3687" s="1"/>
  <c r="F3688"/>
  <c r="G3688" s="1"/>
  <c r="F3697"/>
  <c r="G3697" s="1"/>
  <c r="F3698"/>
  <c r="G3698" s="1"/>
  <c r="F3699"/>
  <c r="G3699" s="1"/>
  <c r="F3700"/>
  <c r="G3700" s="1"/>
  <c r="F3702"/>
  <c r="G3702" s="1"/>
  <c r="F3712"/>
  <c r="G3712" s="1"/>
  <c r="H3712" s="1"/>
  <c r="F3713"/>
  <c r="G3713" s="1"/>
  <c r="F3714"/>
  <c r="G3714" s="1"/>
  <c r="F3715"/>
  <c r="G3715" s="1"/>
  <c r="F3726"/>
  <c r="G3726" s="1"/>
  <c r="F3727"/>
  <c r="G3727" s="1"/>
  <c r="F3728"/>
  <c r="G3728" s="1"/>
  <c r="H3728" s="1"/>
  <c r="F3740"/>
  <c r="G3740" s="1"/>
  <c r="F3741"/>
  <c r="G3741" s="1"/>
  <c r="F3742"/>
  <c r="G3742" s="1"/>
  <c r="F3743"/>
  <c r="G3743" s="1"/>
  <c r="F3738"/>
  <c r="G3738" s="1"/>
  <c r="F3739"/>
  <c r="G3739" s="1"/>
  <c r="F3756"/>
  <c r="G3756" s="1"/>
  <c r="F3757"/>
  <c r="G3757" s="1"/>
  <c r="F3758"/>
  <c r="G3758" s="1"/>
  <c r="F3759"/>
  <c r="G3759" s="1"/>
  <c r="F3754"/>
  <c r="G3754" s="1"/>
  <c r="F3755"/>
  <c r="G3755" s="1"/>
  <c r="F3773"/>
  <c r="G3773" s="1"/>
  <c r="F3774"/>
  <c r="G3774" s="1"/>
  <c r="F3775"/>
  <c r="G3775" s="1"/>
  <c r="F3776"/>
  <c r="G3776" s="1"/>
  <c r="F3771"/>
  <c r="G3771" s="1"/>
  <c r="F3772"/>
  <c r="G3772" s="1"/>
  <c r="F3667"/>
  <c r="G3667" s="1"/>
  <c r="F3668"/>
  <c r="G3668" s="1"/>
  <c r="F3669"/>
  <c r="G3669" s="1"/>
  <c r="F3670"/>
  <c r="G3670" s="1"/>
  <c r="F2965"/>
  <c r="G2965" s="1"/>
  <c r="F2966"/>
  <c r="G2966" s="1"/>
  <c r="F2967"/>
  <c r="G2967" s="1"/>
  <c r="H2967" s="1"/>
  <c r="F2878"/>
  <c r="G2878" s="1"/>
  <c r="F2879"/>
  <c r="G2879" s="1"/>
  <c r="F2880"/>
  <c r="G2880" s="1"/>
  <c r="F2881"/>
  <c r="G2881" s="1"/>
  <c r="F2891"/>
  <c r="G2891" s="1"/>
  <c r="F2892"/>
  <c r="G2892" s="1"/>
  <c r="F2893"/>
  <c r="G2893" s="1"/>
  <c r="F2894"/>
  <c r="G2894" s="1"/>
  <c r="F2906"/>
  <c r="G2906" s="1"/>
  <c r="F2907"/>
  <c r="G2907" s="1"/>
  <c r="F2908"/>
  <c r="G2908" s="1"/>
  <c r="F2909"/>
  <c r="G2909" s="1"/>
  <c r="F2921"/>
  <c r="G2921" s="1"/>
  <c r="F2922"/>
  <c r="G2922" s="1"/>
  <c r="F2923"/>
  <c r="G2923" s="1"/>
  <c r="F2924"/>
  <c r="G2924" s="1"/>
  <c r="F2934"/>
  <c r="G2934" s="1"/>
  <c r="F2935"/>
  <c r="G2935" s="1"/>
  <c r="F2936"/>
  <c r="G2936" s="1"/>
  <c r="F2937"/>
  <c r="G2937" s="1"/>
  <c r="F2948"/>
  <c r="G2948" s="1"/>
  <c r="F2949"/>
  <c r="G2949" s="1"/>
  <c r="F2950"/>
  <c r="G2950" s="1"/>
  <c r="F2951"/>
  <c r="G2951" s="1"/>
  <c r="F3324"/>
  <c r="F3325"/>
  <c r="F2864"/>
  <c r="G2864" s="1"/>
  <c r="F2865"/>
  <c r="G2865" s="1"/>
  <c r="F3025"/>
  <c r="G3025" s="1"/>
  <c r="F3026"/>
  <c r="G3026" s="1"/>
  <c r="F3023"/>
  <c r="G3023" s="1"/>
  <c r="F3024"/>
  <c r="G3024" s="1"/>
  <c r="F3040"/>
  <c r="G3040" s="1"/>
  <c r="F3041"/>
  <c r="G3041" s="1"/>
  <c r="F3038"/>
  <c r="G3038" s="1"/>
  <c r="F3039"/>
  <c r="G3039" s="1"/>
  <c r="F3054"/>
  <c r="G3054" s="1"/>
  <c r="F3055"/>
  <c r="G3055" s="1"/>
  <c r="F3052"/>
  <c r="G3052" s="1"/>
  <c r="F3053"/>
  <c r="G3053" s="1"/>
  <c r="F3066"/>
  <c r="G3066" s="1"/>
  <c r="F3067"/>
  <c r="G3067" s="1"/>
  <c r="F3064"/>
  <c r="G3064" s="1"/>
  <c r="F3065"/>
  <c r="G3065" s="1"/>
  <c r="F3078"/>
  <c r="G3078" s="1"/>
  <c r="F3079"/>
  <c r="G3079" s="1"/>
  <c r="F3080"/>
  <c r="G3080" s="1"/>
  <c r="F3081"/>
  <c r="G3081" s="1"/>
  <c r="F3096"/>
  <c r="G3096" s="1"/>
  <c r="F3094"/>
  <c r="G3094" s="1"/>
  <c r="F3095"/>
  <c r="G3095" s="1"/>
  <c r="F3108"/>
  <c r="G3108" s="1"/>
  <c r="H3108" s="1"/>
  <c r="F3106"/>
  <c r="G3106" s="1"/>
  <c r="F3107"/>
  <c r="G3107" s="1"/>
  <c r="F3122"/>
  <c r="G3122" s="1"/>
  <c r="H3122" s="1"/>
  <c r="F3120"/>
  <c r="G3120" s="1"/>
  <c r="F3121"/>
  <c r="G3121" s="1"/>
  <c r="F3138"/>
  <c r="G3138" s="1"/>
  <c r="F3139"/>
  <c r="G3139" s="1"/>
  <c r="F3136"/>
  <c r="G3136" s="1"/>
  <c r="F3137"/>
  <c r="G3137" s="1"/>
  <c r="F3152"/>
  <c r="G3152" s="1"/>
  <c r="F3149"/>
  <c r="G3149" s="1"/>
  <c r="F3150"/>
  <c r="G3150" s="1"/>
  <c r="F3165"/>
  <c r="G3165" s="1"/>
  <c r="F3166"/>
  <c r="G3166" s="1"/>
  <c r="F3163"/>
  <c r="G3163" s="1"/>
  <c r="F3164"/>
  <c r="G3164" s="1"/>
  <c r="F3180"/>
  <c r="G3180" s="1"/>
  <c r="F3181"/>
  <c r="G3181" s="1"/>
  <c r="F3178"/>
  <c r="G3178" s="1"/>
  <c r="F3179"/>
  <c r="G3179" s="1"/>
  <c r="F3202"/>
  <c r="G3202" s="1"/>
  <c r="F3203"/>
  <c r="G3203" s="1"/>
  <c r="F3205"/>
  <c r="G3205" s="1"/>
  <c r="H3205" s="1"/>
  <c r="F3217"/>
  <c r="G3217" s="1"/>
  <c r="F3218"/>
  <c r="G3218" s="1"/>
  <c r="F3231"/>
  <c r="G3231" s="1"/>
  <c r="F3232"/>
  <c r="G3232" s="1"/>
  <c r="F3234"/>
  <c r="G3234" s="1"/>
  <c r="F3235"/>
  <c r="G3235" s="1"/>
  <c r="F3246"/>
  <c r="G3246" s="1"/>
  <c r="F3247"/>
  <c r="G3247" s="1"/>
  <c r="F3248"/>
  <c r="G3248" s="1"/>
  <c r="H3248" s="1"/>
  <c r="F3261"/>
  <c r="G3261" s="1"/>
  <c r="F3262"/>
  <c r="G3262" s="1"/>
  <c r="F3263"/>
  <c r="G3263" s="1"/>
  <c r="H3263" s="1"/>
  <c r="F3272"/>
  <c r="G3272" s="1"/>
  <c r="F3273"/>
  <c r="G3273" s="1"/>
  <c r="F3274"/>
  <c r="G3274" s="1"/>
  <c r="H3274" s="1"/>
  <c r="F3285"/>
  <c r="G3285" s="1"/>
  <c r="F3286"/>
  <c r="G3286" s="1"/>
  <c r="F3302"/>
  <c r="G3302" s="1"/>
  <c r="F3299"/>
  <c r="G3299" s="1"/>
  <c r="F3300"/>
  <c r="G3300" s="1"/>
  <c r="F3314"/>
  <c r="G3314" s="1"/>
  <c r="F3311"/>
  <c r="G3311" s="1"/>
  <c r="F3312"/>
  <c r="G3312" s="1"/>
  <c r="F3326"/>
  <c r="G3326" s="1"/>
  <c r="F3327"/>
  <c r="G3327" s="1"/>
  <c r="F3341"/>
  <c r="G3342" s="1"/>
  <c r="H3342" s="1"/>
  <c r="F3013"/>
  <c r="G3013" s="1"/>
  <c r="F3014"/>
  <c r="G3014" s="1"/>
  <c r="F3011"/>
  <c r="G3011" s="1"/>
  <c r="F3012"/>
  <c r="G3012" s="1"/>
  <c r="F2717"/>
  <c r="G2717" s="1"/>
  <c r="F2718"/>
  <c r="G2718" s="1"/>
  <c r="F2715"/>
  <c r="G2715" s="1"/>
  <c r="F2716"/>
  <c r="G2716" s="1"/>
  <c r="F2732"/>
  <c r="G2732" s="1"/>
  <c r="F2733"/>
  <c r="G2733" s="1"/>
  <c r="F2730"/>
  <c r="G2730" s="1"/>
  <c r="F2731"/>
  <c r="G2731" s="1"/>
  <c r="F2748"/>
  <c r="G2748" s="1"/>
  <c r="F2749"/>
  <c r="G2749" s="1"/>
  <c r="F2746"/>
  <c r="G2746" s="1"/>
  <c r="F2747"/>
  <c r="G2747" s="1"/>
  <c r="F2760"/>
  <c r="G2760" s="1"/>
  <c r="F2761"/>
  <c r="F2777" s="1"/>
  <c r="G2777" s="1"/>
  <c r="F2758"/>
  <c r="G2758" s="1"/>
  <c r="F2759"/>
  <c r="G2759" s="1"/>
  <c r="F2791"/>
  <c r="G2791" s="1"/>
  <c r="F2792"/>
  <c r="G2792" s="1"/>
  <c r="F2789"/>
  <c r="G2789" s="1"/>
  <c r="F2790"/>
  <c r="G2790" s="1"/>
  <c r="F2802"/>
  <c r="G2802" s="1"/>
  <c r="F2803"/>
  <c r="G2803" s="1"/>
  <c r="F2800"/>
  <c r="G2800" s="1"/>
  <c r="F2801"/>
  <c r="G2801" s="1"/>
  <c r="F2818"/>
  <c r="G2818" s="1"/>
  <c r="F2819"/>
  <c r="G2819" s="1"/>
  <c r="F2816"/>
  <c r="G2816" s="1"/>
  <c r="F2817"/>
  <c r="G2817" s="1"/>
  <c r="F2832"/>
  <c r="G2832" s="1"/>
  <c r="F2833"/>
  <c r="G2833" s="1"/>
  <c r="F2834"/>
  <c r="G2834" s="1"/>
  <c r="F2835"/>
  <c r="G2835" s="1"/>
  <c r="F2836"/>
  <c r="G2836" s="1"/>
  <c r="F2846"/>
  <c r="G2846" s="1"/>
  <c r="F2847"/>
  <c r="G2847" s="1"/>
  <c r="F2848"/>
  <c r="G2848" s="1"/>
  <c r="F2850"/>
  <c r="G2850" s="1"/>
  <c r="F2705"/>
  <c r="G2705" s="1"/>
  <c r="F2706"/>
  <c r="G2706" s="1"/>
  <c r="F2703"/>
  <c r="G2703" s="1"/>
  <c r="F2704"/>
  <c r="G2704" s="1"/>
  <c r="F2044"/>
  <c r="G2044" s="1"/>
  <c r="F2045"/>
  <c r="G2045" s="1"/>
  <c r="F2046"/>
  <c r="G2046" s="1"/>
  <c r="F2047"/>
  <c r="G2047" s="1"/>
  <c r="G2048"/>
  <c r="F2061"/>
  <c r="G2061" s="1"/>
  <c r="F2062"/>
  <c r="G2062" s="1"/>
  <c r="F2063"/>
  <c r="G2063" s="1"/>
  <c r="F2064"/>
  <c r="G2064" s="1"/>
  <c r="G2065"/>
  <c r="F2078"/>
  <c r="G2078" s="1"/>
  <c r="F2079"/>
  <c r="G2079" s="1"/>
  <c r="F2080"/>
  <c r="G2080" s="1"/>
  <c r="F2081"/>
  <c r="G2081" s="1"/>
  <c r="F2082"/>
  <c r="G2082" s="1"/>
  <c r="F2083"/>
  <c r="G2083" s="1"/>
  <c r="F2084"/>
  <c r="G2084" s="1"/>
  <c r="F2086"/>
  <c r="G2086" s="1"/>
  <c r="F2087"/>
  <c r="G2087" s="1"/>
  <c r="F2088"/>
  <c r="G2088" s="1"/>
  <c r="F2105"/>
  <c r="G2105" s="1"/>
  <c r="F2106"/>
  <c r="G2106" s="1"/>
  <c r="F2107"/>
  <c r="G2107" s="1"/>
  <c r="F2108"/>
  <c r="G2108" s="1"/>
  <c r="F2110"/>
  <c r="G2110" s="1"/>
  <c r="F2111"/>
  <c r="G2111" s="1"/>
  <c r="F2112"/>
  <c r="G2112" s="1"/>
  <c r="F2113"/>
  <c r="G2113" s="1"/>
  <c r="F2125"/>
  <c r="G2125" s="1"/>
  <c r="F2126"/>
  <c r="G2126" s="1"/>
  <c r="F2127"/>
  <c r="G2127" s="1"/>
  <c r="F2128"/>
  <c r="G2128" s="1"/>
  <c r="F2129"/>
  <c r="G2129" s="1"/>
  <c r="F2130"/>
  <c r="G2130" s="1"/>
  <c r="F2131"/>
  <c r="G2131" s="1"/>
  <c r="F2132"/>
  <c r="G2132" s="1"/>
  <c r="F2133"/>
  <c r="G2133" s="1"/>
  <c r="F2150"/>
  <c r="G2150" s="1"/>
  <c r="F2151"/>
  <c r="G2151" s="1"/>
  <c r="F2152"/>
  <c r="G2152" s="1"/>
  <c r="F2153"/>
  <c r="G2153" s="1"/>
  <c r="F2154"/>
  <c r="G2154" s="1"/>
  <c r="F2155"/>
  <c r="G2155" s="1"/>
  <c r="F2156"/>
  <c r="G2156" s="1"/>
  <c r="F2157"/>
  <c r="G2157" s="1"/>
  <c r="F2159"/>
  <c r="G2159" s="1"/>
  <c r="H2159" s="1"/>
  <c r="F2606"/>
  <c r="G2606" s="1"/>
  <c r="F2607"/>
  <c r="G2607" s="1"/>
  <c r="F2608"/>
  <c r="G2608" s="1"/>
  <c r="F2609"/>
  <c r="G2609" s="1"/>
  <c r="F2610"/>
  <c r="G2610" s="1"/>
  <c r="F2611"/>
  <c r="G2611" s="1"/>
  <c r="F2612"/>
  <c r="G2612" s="1"/>
  <c r="F2613"/>
  <c r="G2613" s="1"/>
  <c r="F2615"/>
  <c r="G2615" s="1"/>
  <c r="H2615" s="1"/>
  <c r="F2170"/>
  <c r="G2170" s="1"/>
  <c r="F2171"/>
  <c r="G2171" s="1"/>
  <c r="F2172"/>
  <c r="G2172" s="1"/>
  <c r="F2173"/>
  <c r="G2173" s="1"/>
  <c r="F2175"/>
  <c r="G2175" s="1"/>
  <c r="F2185"/>
  <c r="G2185" s="1"/>
  <c r="F2186"/>
  <c r="G2186" s="1"/>
  <c r="F2187"/>
  <c r="G2187" s="1"/>
  <c r="F2188"/>
  <c r="G2188" s="1"/>
  <c r="F2191"/>
  <c r="G2191" s="1"/>
  <c r="F2190"/>
  <c r="G2190" s="1"/>
  <c r="F2202"/>
  <c r="G2202" s="1"/>
  <c r="F2203"/>
  <c r="G2203" s="1"/>
  <c r="F2204"/>
  <c r="G2204" s="1"/>
  <c r="F2205"/>
  <c r="G2205" s="1"/>
  <c r="F2206"/>
  <c r="G2206" s="1"/>
  <c r="F2215"/>
  <c r="G2215" s="1"/>
  <c r="F2216"/>
  <c r="G2216" s="1"/>
  <c r="F2217"/>
  <c r="G2217" s="1"/>
  <c r="F2218"/>
  <c r="G2218" s="1"/>
  <c r="F2439"/>
  <c r="G2439" s="1"/>
  <c r="F2440"/>
  <c r="G2440" s="1"/>
  <c r="F2441"/>
  <c r="G2441" s="1"/>
  <c r="F2455"/>
  <c r="G2455" s="1"/>
  <c r="F2456"/>
  <c r="G2456" s="1"/>
  <c r="F2457"/>
  <c r="G2457" s="1"/>
  <c r="F2460"/>
  <c r="F2229"/>
  <c r="G2229" s="1"/>
  <c r="F2230"/>
  <c r="G2230" s="1"/>
  <c r="F2231"/>
  <c r="G2231" s="1"/>
  <c r="F2232"/>
  <c r="G2232" s="1"/>
  <c r="F2233"/>
  <c r="G2233" s="1"/>
  <c r="F2245"/>
  <c r="G2245" s="1"/>
  <c r="F2246"/>
  <c r="G2246" s="1"/>
  <c r="F2247"/>
  <c r="G2247" s="1"/>
  <c r="F2248"/>
  <c r="G2248" s="1"/>
  <c r="F2249"/>
  <c r="G2249" s="1"/>
  <c r="F2250"/>
  <c r="G2250" s="1"/>
  <c r="F2251"/>
  <c r="G2251" s="1"/>
  <c r="F2262"/>
  <c r="G2262" s="1"/>
  <c r="F2263"/>
  <c r="G2263" s="1"/>
  <c r="F2264"/>
  <c r="G2264" s="1"/>
  <c r="F2265"/>
  <c r="G2265" s="1"/>
  <c r="F2266"/>
  <c r="G2266" s="1"/>
  <c r="F2278"/>
  <c r="G2278" s="1"/>
  <c r="F2279"/>
  <c r="G2279" s="1"/>
  <c r="F2280"/>
  <c r="G2280" s="1"/>
  <c r="F2281"/>
  <c r="G2281" s="1"/>
  <c r="F2282"/>
  <c r="G2282" s="1"/>
  <c r="F2309"/>
  <c r="G2309" s="1"/>
  <c r="F2310"/>
  <c r="G2310" s="1"/>
  <c r="F2307"/>
  <c r="G2307" s="1"/>
  <c r="F2308"/>
  <c r="G2308" s="1"/>
  <c r="F2324"/>
  <c r="G2324" s="1"/>
  <c r="F2325"/>
  <c r="G2325" s="1"/>
  <c r="F2322"/>
  <c r="G2322" s="1"/>
  <c r="F2323"/>
  <c r="G2323" s="1"/>
  <c r="F2339"/>
  <c r="G2339" s="1"/>
  <c r="F2340"/>
  <c r="G2340" s="1"/>
  <c r="F2337"/>
  <c r="G2337" s="1"/>
  <c r="F2338"/>
  <c r="G2338" s="1"/>
  <c r="F2351"/>
  <c r="G2351" s="1"/>
  <c r="F2352"/>
  <c r="G2352" s="1"/>
  <c r="F2353"/>
  <c r="G2353" s="1"/>
  <c r="F2354"/>
  <c r="G2354" s="1"/>
  <c r="F2355"/>
  <c r="G2355" s="1"/>
  <c r="F2370"/>
  <c r="G2370" s="1"/>
  <c r="F2371"/>
  <c r="G2371" s="1"/>
  <c r="F2368"/>
  <c r="G2368" s="1"/>
  <c r="F2369"/>
  <c r="G2369" s="1"/>
  <c r="F2386"/>
  <c r="G2386" s="1"/>
  <c r="H2386" s="1"/>
  <c r="F2383"/>
  <c r="G2383" s="1"/>
  <c r="H2384" s="1"/>
  <c r="F2397"/>
  <c r="G2397" s="1"/>
  <c r="H2397" s="1"/>
  <c r="F2399"/>
  <c r="G2399" s="1"/>
  <c r="H2399" s="1"/>
  <c r="F2413"/>
  <c r="G2413" s="1"/>
  <c r="H2413" s="1"/>
  <c r="F2410"/>
  <c r="G2410" s="1"/>
  <c r="F2411"/>
  <c r="G2411" s="1"/>
  <c r="F2475"/>
  <c r="G2475" s="1"/>
  <c r="H2475" s="1"/>
  <c r="F2472"/>
  <c r="G2472" s="1"/>
  <c r="F2473"/>
  <c r="G2473" s="1"/>
  <c r="F2429"/>
  <c r="G2429" s="1"/>
  <c r="F2430"/>
  <c r="G2430" s="1"/>
  <c r="F2427"/>
  <c r="G2427" s="1"/>
  <c r="F2428"/>
  <c r="G2428" s="1"/>
  <c r="F2027"/>
  <c r="G2027" s="1"/>
  <c r="F2028"/>
  <c r="G2028" s="1"/>
  <c r="F2029"/>
  <c r="G2029" s="1"/>
  <c r="F2030"/>
  <c r="G2030" s="1"/>
  <c r="F2031"/>
  <c r="G2031" s="1"/>
  <c r="F1530"/>
  <c r="G1530" s="1"/>
  <c r="F1531"/>
  <c r="G1531" s="1"/>
  <c r="F1532"/>
  <c r="G1532" s="1"/>
  <c r="F1533"/>
  <c r="G1533" s="1"/>
  <c r="F1534"/>
  <c r="G1534" s="1"/>
  <c r="F1535"/>
  <c r="G1535" s="1"/>
  <c r="F1536"/>
  <c r="G1536" s="1"/>
  <c r="F1538"/>
  <c r="G1538" s="1"/>
  <c r="F1548"/>
  <c r="G1548" s="1"/>
  <c r="F1549"/>
  <c r="G1549" s="1"/>
  <c r="F1550"/>
  <c r="G1550" s="1"/>
  <c r="F1551"/>
  <c r="G1551" s="1"/>
  <c r="F1553"/>
  <c r="G1553" s="1"/>
  <c r="F1574"/>
  <c r="G1574" s="1"/>
  <c r="F1575"/>
  <c r="G1575" s="1"/>
  <c r="F1576"/>
  <c r="G1576" s="1"/>
  <c r="F1577"/>
  <c r="G1577" s="1"/>
  <c r="F1578"/>
  <c r="G1578" s="1"/>
  <c r="F1572"/>
  <c r="G1572" s="1"/>
  <c r="F1573"/>
  <c r="G1573" s="1"/>
  <c r="F1592"/>
  <c r="G1592" s="1"/>
  <c r="F1593"/>
  <c r="G1593" s="1"/>
  <c r="F1594"/>
  <c r="G1594" s="1"/>
  <c r="F1595"/>
  <c r="G1595" s="1"/>
  <c r="F1596"/>
  <c r="G1596" s="1"/>
  <c r="F1590"/>
  <c r="G1590" s="1"/>
  <c r="F1591"/>
  <c r="G1591" s="1"/>
  <c r="F1615"/>
  <c r="G1615" s="1"/>
  <c r="F1616"/>
  <c r="G1616" s="1"/>
  <c r="F1630"/>
  <c r="G1630" s="1"/>
  <c r="F1631"/>
  <c r="G1631" s="1"/>
  <c r="F1632"/>
  <c r="G1632" s="1"/>
  <c r="F1633"/>
  <c r="G1633" s="1"/>
  <c r="F1634"/>
  <c r="G1634" s="1"/>
  <c r="F1635"/>
  <c r="G1635" s="1"/>
  <c r="F1636"/>
  <c r="G1636" s="1"/>
  <c r="F1655"/>
  <c r="G1655" s="1"/>
  <c r="F1656"/>
  <c r="G1656" s="1"/>
  <c r="F1659"/>
  <c r="G1659" s="1"/>
  <c r="F1660"/>
  <c r="G1660" s="1"/>
  <c r="F1661"/>
  <c r="G1661" s="1"/>
  <c r="F1662"/>
  <c r="G1662" s="1"/>
  <c r="F1675"/>
  <c r="G1675" s="1"/>
  <c r="F1676"/>
  <c r="G1676" s="1"/>
  <c r="F1677"/>
  <c r="G1677" s="1"/>
  <c r="F1678"/>
  <c r="G1678" s="1"/>
  <c r="F1679"/>
  <c r="G1679" s="1"/>
  <c r="F1680"/>
  <c r="G1680" s="1"/>
  <c r="F1673"/>
  <c r="G1673" s="1"/>
  <c r="F1674"/>
  <c r="G1674" s="1"/>
  <c r="F1711"/>
  <c r="G1711" s="1"/>
  <c r="F1712"/>
  <c r="G1712" s="1"/>
  <c r="F1709"/>
  <c r="G1709" s="1"/>
  <c r="F1710"/>
  <c r="G1710" s="1"/>
  <c r="F1722"/>
  <c r="G1722" s="1"/>
  <c r="F1723"/>
  <c r="G1723" s="1"/>
  <c r="F1724"/>
  <c r="G1724" s="1"/>
  <c r="F1725"/>
  <c r="G1725" s="1"/>
  <c r="F1737"/>
  <c r="G1737" s="1"/>
  <c r="F1738"/>
  <c r="G1738" s="1"/>
  <c r="F1739"/>
  <c r="G1739" s="1"/>
  <c r="F1740"/>
  <c r="G1740" s="1"/>
  <c r="F1752"/>
  <c r="G1752" s="1"/>
  <c r="F1753"/>
  <c r="G1753" s="1"/>
  <c r="F1755"/>
  <c r="G1755" s="1"/>
  <c r="F1764"/>
  <c r="G1764" s="1"/>
  <c r="F1765"/>
  <c r="G1765" s="1"/>
  <c r="F1766"/>
  <c r="G1766" s="1"/>
  <c r="F1767"/>
  <c r="G1767" s="1"/>
  <c r="F1779"/>
  <c r="G1779" s="1"/>
  <c r="F1780"/>
  <c r="G1780" s="1"/>
  <c r="F1794"/>
  <c r="G1794" s="1"/>
  <c r="F1795"/>
  <c r="G1795" s="1"/>
  <c r="F1796"/>
  <c r="G1796" s="1"/>
  <c r="F1798"/>
  <c r="G1798" s="1"/>
  <c r="F1799"/>
  <c r="G1799" s="1"/>
  <c r="F1810"/>
  <c r="G1810" s="1"/>
  <c r="F1811"/>
  <c r="G1811" s="1"/>
  <c r="F1812"/>
  <c r="G1812" s="1"/>
  <c r="F1813"/>
  <c r="G1813" s="1"/>
  <c r="F1814"/>
  <c r="G1814" s="1"/>
  <c r="F1815"/>
  <c r="G1815" s="1"/>
  <c r="F1827"/>
  <c r="G1827" s="1"/>
  <c r="F1828"/>
  <c r="G1828" s="1"/>
  <c r="F1829"/>
  <c r="G1829" s="1"/>
  <c r="G1830"/>
  <c r="F1831"/>
  <c r="G1831" s="1"/>
  <c r="F1832"/>
  <c r="G1832" s="1"/>
  <c r="F1474"/>
  <c r="G1474" s="1"/>
  <c r="F1475"/>
  <c r="G1475" s="1"/>
  <c r="F1476"/>
  <c r="G1476" s="1"/>
  <c r="H1477" s="1"/>
  <c r="F1490"/>
  <c r="G1490" s="1"/>
  <c r="H1491" s="1"/>
  <c r="F1488"/>
  <c r="G1488" s="1"/>
  <c r="F1489"/>
  <c r="G1489" s="1"/>
  <c r="F1844"/>
  <c r="G1844" s="1"/>
  <c r="F1845"/>
  <c r="G1845" s="1"/>
  <c r="F1846"/>
  <c r="G1846" s="1"/>
  <c r="H1846" s="1"/>
  <c r="F1401"/>
  <c r="G1401" s="1"/>
  <c r="F1402"/>
  <c r="G1402" s="1"/>
  <c r="F1404"/>
  <c r="G1404" s="1"/>
  <c r="H1405" s="1"/>
  <c r="F1415"/>
  <c r="G1415" s="1"/>
  <c r="F1416"/>
  <c r="G1416" s="1"/>
  <c r="F1418"/>
  <c r="G1418" s="1"/>
  <c r="H1419" s="1"/>
  <c r="F1213"/>
  <c r="G1213" s="1"/>
  <c r="F1214"/>
  <c r="G1214" s="1"/>
  <c r="F1216"/>
  <c r="G1216" s="1"/>
  <c r="F1217"/>
  <c r="G1217" s="1"/>
  <c r="F1218"/>
  <c r="G1218" s="1"/>
  <c r="F1278"/>
  <c r="G1278" s="1"/>
  <c r="F1279"/>
  <c r="G1279" s="1"/>
  <c r="F1280"/>
  <c r="G1280" s="1"/>
  <c r="F1281"/>
  <c r="G1281" s="1"/>
  <c r="F1276"/>
  <c r="G1276" s="1"/>
  <c r="F1277"/>
  <c r="G1277" s="1"/>
  <c r="F1294"/>
  <c r="G1294" s="1"/>
  <c r="F1295"/>
  <c r="G1295" s="1"/>
  <c r="F1296"/>
  <c r="G1296" s="1"/>
  <c r="F1297"/>
  <c r="G1297" s="1"/>
  <c r="F1292"/>
  <c r="G1292" s="1"/>
  <c r="F1293"/>
  <c r="G1293" s="1"/>
  <c r="F1308"/>
  <c r="G1308" s="1"/>
  <c r="F1309"/>
  <c r="G1309" s="1"/>
  <c r="F1350"/>
  <c r="G1350" s="1"/>
  <c r="F1351"/>
  <c r="G1351" s="1"/>
  <c r="F1387"/>
  <c r="G1387" s="1"/>
  <c r="F1388"/>
  <c r="G1388" s="1"/>
  <c r="F1390"/>
  <c r="G1390" s="1"/>
  <c r="H1391" s="1"/>
  <c r="F1180"/>
  <c r="G1180" s="1"/>
  <c r="F1181"/>
  <c r="G1181" s="1"/>
  <c r="F1183"/>
  <c r="G1183" s="1"/>
  <c r="F1184"/>
  <c r="G1184" s="1"/>
  <c r="F1185"/>
  <c r="G1185" s="1"/>
  <c r="F1014"/>
  <c r="G1014" s="1"/>
  <c r="F1015"/>
  <c r="G1015" s="1"/>
  <c r="F1016"/>
  <c r="G1016" s="1"/>
  <c r="F1017"/>
  <c r="G1017" s="1"/>
  <c r="F1033"/>
  <c r="G1033" s="1"/>
  <c r="F1034"/>
  <c r="G1034" s="1"/>
  <c r="F1035"/>
  <c r="G1035" s="1"/>
  <c r="F1037"/>
  <c r="G1037" s="1"/>
  <c r="F1038"/>
  <c r="G1038" s="1"/>
  <c r="F1055"/>
  <c r="G1055" s="1"/>
  <c r="F1056"/>
  <c r="G1056" s="1"/>
  <c r="F1058"/>
  <c r="G1058" s="1"/>
  <c r="F1077"/>
  <c r="G1077" s="1"/>
  <c r="F1078"/>
  <c r="G1078" s="1"/>
  <c r="F1079"/>
  <c r="G1079" s="1"/>
  <c r="F1080"/>
  <c r="G1080" s="1"/>
  <c r="F1091"/>
  <c r="G1091" s="1"/>
  <c r="F1092"/>
  <c r="G1092" s="1"/>
  <c r="F1095"/>
  <c r="G1095" s="1"/>
  <c r="F1096"/>
  <c r="G1096" s="1"/>
  <c r="F1120"/>
  <c r="G1120" s="1"/>
  <c r="F1121"/>
  <c r="G1121" s="1"/>
  <c r="F1122"/>
  <c r="G1122" s="1"/>
  <c r="F1123"/>
  <c r="G1123" s="1"/>
  <c r="F1125"/>
  <c r="G1125" s="1"/>
  <c r="F1141"/>
  <c r="G1141" s="1"/>
  <c r="F1142"/>
  <c r="G1142" s="1"/>
  <c r="F1143"/>
  <c r="G1143" s="1"/>
  <c r="F1144"/>
  <c r="G1144" s="1"/>
  <c r="F1167"/>
  <c r="G1167" s="1"/>
  <c r="F1168"/>
  <c r="G1168" s="1"/>
  <c r="F1169"/>
  <c r="G1169" s="1"/>
  <c r="F999"/>
  <c r="G999" s="1"/>
  <c r="F1000"/>
  <c r="G1000" s="1"/>
  <c r="G1001"/>
  <c r="F1002"/>
  <c r="G1002" s="1"/>
  <c r="F986"/>
  <c r="G986" s="1"/>
  <c r="F987"/>
  <c r="G987" s="1"/>
  <c r="F731"/>
  <c r="G731" s="1"/>
  <c r="F732"/>
  <c r="G732" s="1"/>
  <c r="F733"/>
  <c r="G733" s="1"/>
  <c r="F729"/>
  <c r="G729" s="1"/>
  <c r="F730"/>
  <c r="G730" s="1"/>
  <c r="F747"/>
  <c r="G747" s="1"/>
  <c r="F748"/>
  <c r="G748" s="1"/>
  <c r="F745"/>
  <c r="G745" s="1"/>
  <c r="F746"/>
  <c r="G746" s="1"/>
  <c r="F762"/>
  <c r="G762" s="1"/>
  <c r="F763"/>
  <c r="G763" s="1"/>
  <c r="F765"/>
  <c r="G765" s="1"/>
  <c r="F760"/>
  <c r="G760" s="1"/>
  <c r="F761"/>
  <c r="G761" s="1"/>
  <c r="F784"/>
  <c r="G784" s="1"/>
  <c r="F785"/>
  <c r="G785" s="1"/>
  <c r="F786"/>
  <c r="G786" s="1"/>
  <c r="F787"/>
  <c r="G787" s="1"/>
  <c r="F782"/>
  <c r="G782" s="1"/>
  <c r="F783"/>
  <c r="G783" s="1"/>
  <c r="F801"/>
  <c r="G801" s="1"/>
  <c r="F802"/>
  <c r="G802" s="1"/>
  <c r="F803"/>
  <c r="G803" s="1"/>
  <c r="G805"/>
  <c r="F799"/>
  <c r="G799" s="1"/>
  <c r="F800"/>
  <c r="G800" s="1"/>
  <c r="F822"/>
  <c r="G822" s="1"/>
  <c r="F823"/>
  <c r="G823" s="1"/>
  <c r="F824"/>
  <c r="G824" s="1"/>
  <c r="F826"/>
  <c r="G826" s="1"/>
  <c r="F627"/>
  <c r="G627" s="1"/>
  <c r="F628"/>
  <c r="G628" s="1"/>
  <c r="F629"/>
  <c r="G629" s="1"/>
  <c r="F625"/>
  <c r="G625" s="1"/>
  <c r="F626"/>
  <c r="G626" s="1"/>
  <c r="F643"/>
  <c r="G643" s="1"/>
  <c r="F644"/>
  <c r="G644" s="1"/>
  <c r="F645"/>
  <c r="G645" s="1"/>
  <c r="F641"/>
  <c r="G641" s="1"/>
  <c r="F642"/>
  <c r="G642" s="1"/>
  <c r="F657"/>
  <c r="G657" s="1"/>
  <c r="F658"/>
  <c r="G658" s="1"/>
  <c r="F660"/>
  <c r="G660" s="1"/>
  <c r="F670"/>
  <c r="G670" s="1"/>
  <c r="F671"/>
  <c r="G671" s="1"/>
  <c r="F673"/>
  <c r="G673" s="1"/>
  <c r="F686"/>
  <c r="G686" s="1"/>
  <c r="F687"/>
  <c r="G687" s="1"/>
  <c r="F688"/>
  <c r="G688" s="1"/>
  <c r="F689"/>
  <c r="G689" s="1"/>
  <c r="F703"/>
  <c r="G703" s="1"/>
  <c r="H703" s="1"/>
  <c r="F705"/>
  <c r="G705" s="1"/>
  <c r="F319"/>
  <c r="G319" s="1"/>
  <c r="F320"/>
  <c r="G320" s="1"/>
  <c r="F321"/>
  <c r="G321" s="1"/>
  <c r="H326" s="1"/>
  <c r="F322"/>
  <c r="G322" s="1"/>
  <c r="F323"/>
  <c r="G323" s="1"/>
  <c r="F337"/>
  <c r="G337" s="1"/>
  <c r="F338"/>
  <c r="G338" s="1"/>
  <c r="F339"/>
  <c r="G339" s="1"/>
  <c r="H344" s="1"/>
  <c r="F340"/>
  <c r="G340" s="1"/>
  <c r="F341"/>
  <c r="G341" s="1"/>
  <c r="F362"/>
  <c r="G362" s="1"/>
  <c r="F363"/>
  <c r="G363" s="1"/>
  <c r="F364"/>
  <c r="G364" s="1"/>
  <c r="H369" s="1"/>
  <c r="F365"/>
  <c r="G365" s="1"/>
  <c r="F366"/>
  <c r="G366" s="1"/>
  <c r="F367"/>
  <c r="G367" s="1"/>
  <c r="F379"/>
  <c r="G379" s="1"/>
  <c r="F380"/>
  <c r="G380" s="1"/>
  <c r="F381"/>
  <c r="G381" s="1"/>
  <c r="H386" s="1"/>
  <c r="F382"/>
  <c r="G382" s="1"/>
  <c r="F383"/>
  <c r="G383" s="1"/>
  <c r="F404"/>
  <c r="G404" s="1"/>
  <c r="F405"/>
  <c r="G405" s="1"/>
  <c r="F406"/>
  <c r="G406" s="1"/>
  <c r="H411" s="1"/>
  <c r="F407"/>
  <c r="G407" s="1"/>
  <c r="F408"/>
  <c r="G408" s="1"/>
  <c r="F421"/>
  <c r="G421" s="1"/>
  <c r="F422"/>
  <c r="G422" s="1"/>
  <c r="F423"/>
  <c r="G423" s="1"/>
  <c r="H428" s="1"/>
  <c r="F424"/>
  <c r="G424" s="1"/>
  <c r="F425"/>
  <c r="G425" s="1"/>
  <c r="F444"/>
  <c r="G444" s="1"/>
  <c r="F445"/>
  <c r="G445" s="1"/>
  <c r="F446"/>
  <c r="G446" s="1"/>
  <c r="H451" s="1"/>
  <c r="F447"/>
  <c r="G447" s="1"/>
  <c r="F448"/>
  <c r="G448" s="1"/>
  <c r="F461"/>
  <c r="G461" s="1"/>
  <c r="F462"/>
  <c r="G462" s="1"/>
  <c r="F463"/>
  <c r="G463" s="1"/>
  <c r="H468" s="1"/>
  <c r="F464"/>
  <c r="G464" s="1"/>
  <c r="F465"/>
  <c r="G465" s="1"/>
  <c r="F485"/>
  <c r="G485" s="1"/>
  <c r="F486"/>
  <c r="G486" s="1"/>
  <c r="F487"/>
  <c r="G487" s="1"/>
  <c r="H492" s="1"/>
  <c r="F488"/>
  <c r="G488" s="1"/>
  <c r="F489"/>
  <c r="G489" s="1"/>
  <c r="F502"/>
  <c r="G502" s="1"/>
  <c r="F503"/>
  <c r="G503" s="1"/>
  <c r="F504"/>
  <c r="G504" s="1"/>
  <c r="H509" s="1"/>
  <c r="F505"/>
  <c r="G505" s="1"/>
  <c r="F506"/>
  <c r="G506" s="1"/>
  <c r="F527"/>
  <c r="G527" s="1"/>
  <c r="F528"/>
  <c r="G528" s="1"/>
  <c r="F529"/>
  <c r="G529" s="1"/>
  <c r="H534" s="1"/>
  <c r="F530"/>
  <c r="G530" s="1"/>
  <c r="F531"/>
  <c r="G531" s="1"/>
  <c r="F544"/>
  <c r="G544" s="1"/>
  <c r="F545"/>
  <c r="G545" s="1"/>
  <c r="F546"/>
  <c r="G546" s="1"/>
  <c r="H550" s="1"/>
  <c r="F547"/>
  <c r="G547" s="1"/>
  <c r="F294"/>
  <c r="G294" s="1"/>
  <c r="H299" s="1"/>
  <c r="F295"/>
  <c r="G295" s="1"/>
  <c r="F296"/>
  <c r="G296" s="1"/>
  <c r="F161"/>
  <c r="G161" s="1"/>
  <c r="H161" s="1"/>
  <c r="H162" s="1"/>
  <c r="H163" s="1"/>
  <c r="H164" s="1"/>
  <c r="H165" s="1"/>
  <c r="B166" s="1"/>
  <c r="F191"/>
  <c r="G191" s="1"/>
  <c r="H191" s="1"/>
  <c r="F203"/>
  <c r="G203" s="1"/>
  <c r="H203" s="1"/>
  <c r="F236"/>
  <c r="G236" s="1"/>
  <c r="G248"/>
  <c r="H248" s="1"/>
  <c r="F149"/>
  <c r="G149" s="1"/>
  <c r="H149" s="1"/>
  <c r="F38"/>
  <c r="G38" s="1"/>
  <c r="H39" s="1"/>
  <c r="H40" s="1"/>
  <c r="H41" s="1"/>
  <c r="B42" s="1"/>
  <c r="E8" i="3" s="1"/>
  <c r="E5" i="18" s="1"/>
  <c r="F63" i="10"/>
  <c r="G63" s="1"/>
  <c r="A126" i="18"/>
  <c r="A127"/>
  <c r="A128" s="1"/>
  <c r="A129" s="1"/>
  <c r="A130" s="1"/>
  <c r="A131" s="1"/>
  <c r="A132" s="1"/>
  <c r="A133" s="1"/>
  <c r="A134" s="1"/>
  <c r="A135" s="1"/>
  <c r="A136" s="1"/>
  <c r="A137" s="1"/>
  <c r="A138" s="1"/>
  <c r="A139" s="1"/>
  <c r="A141" s="1"/>
  <c r="A142" s="1"/>
  <c r="A143" s="1"/>
  <c r="A144" s="1"/>
  <c r="A145" s="1"/>
  <c r="A148"/>
  <c r="A149" s="1"/>
  <c r="A150" s="1"/>
  <c r="A151"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1" s="1"/>
  <c r="A182" s="1"/>
  <c r="A183" s="1"/>
  <c r="A184" s="1"/>
  <c r="A185" s="1"/>
  <c r="A186" s="1"/>
  <c r="A187" s="1"/>
  <c r="A188" s="1"/>
  <c r="A189" s="1"/>
  <c r="A190" s="1"/>
  <c r="A191" s="1"/>
  <c r="A192" s="1"/>
  <c r="A193" s="1"/>
  <c r="A194" s="1"/>
  <c r="A195" s="1"/>
  <c r="A197" s="1"/>
  <c r="A198" s="1"/>
  <c r="A199" s="1"/>
  <c r="A200" s="1"/>
  <c r="A201" s="1"/>
  <c r="A202" s="1"/>
  <c r="A203" s="1"/>
  <c r="A204" s="1"/>
  <c r="A206" s="1"/>
  <c r="A207" s="1"/>
  <c r="A208" s="1"/>
  <c r="A209" s="1"/>
  <c r="A210" s="1"/>
  <c r="A211" s="1"/>
  <c r="A212" s="1"/>
  <c r="A213" s="1"/>
  <c r="F175" i="16"/>
  <c r="F2458" i="10"/>
  <c r="G2458" s="1"/>
  <c r="B417" i="13"/>
  <c r="B418" s="1"/>
  <c r="B419" s="1"/>
  <c r="B420" s="1"/>
  <c r="B421" s="1"/>
  <c r="B422" s="1"/>
  <c r="B423" s="1"/>
  <c r="A447" i="3"/>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35"/>
  <c r="A436" s="1"/>
  <c r="A437" s="1"/>
  <c r="A438" s="1"/>
  <c r="A439" s="1"/>
  <c r="A440" s="1"/>
  <c r="A441" s="1"/>
  <c r="B376" i="13"/>
  <c r="B378"/>
  <c r="B380" s="1"/>
  <c r="B382" s="1"/>
  <c r="B384" s="1"/>
  <c r="B386" s="1"/>
  <c r="B388" s="1"/>
  <c r="B390" s="1"/>
  <c r="B392" s="1"/>
  <c r="B394" s="1"/>
  <c r="B396" s="1"/>
  <c r="B398" s="1"/>
  <c r="B400" s="1"/>
  <c r="B402" s="1"/>
  <c r="B404" s="1"/>
  <c r="B406" s="1"/>
  <c r="B409" s="1"/>
  <c r="B411" s="1"/>
  <c r="B414" s="1"/>
  <c r="B365"/>
  <c r="B366" s="1"/>
  <c r="B367" s="1"/>
  <c r="B368" s="1"/>
  <c r="B369" s="1"/>
  <c r="B370" s="1"/>
  <c r="B356"/>
  <c r="B357" s="1"/>
  <c r="B358" s="1"/>
  <c r="B359" s="1"/>
  <c r="B360" s="1"/>
  <c r="B361" s="1"/>
  <c r="B362" s="1"/>
  <c r="B337"/>
  <c r="B338" s="1"/>
  <c r="B325"/>
  <c r="B316"/>
  <c r="B317" s="1"/>
  <c r="B318" s="1"/>
  <c r="B319" s="1"/>
  <c r="B320" s="1"/>
  <c r="B321" s="1"/>
  <c r="B322" s="1"/>
  <c r="B267"/>
  <c r="B268" s="1"/>
  <c r="B269" s="1"/>
  <c r="B270" s="1"/>
  <c r="B271" s="1"/>
  <c r="B272" s="1"/>
  <c r="B273" s="1"/>
  <c r="B274" s="1"/>
  <c r="B275" s="1"/>
  <c r="B276" s="1"/>
  <c r="B277" s="1"/>
  <c r="B278" s="1"/>
  <c r="B279" s="1"/>
  <c r="B280" s="1"/>
  <c r="B281" s="1"/>
  <c r="B282" s="1"/>
  <c r="B283" s="1"/>
  <c r="B284" s="1"/>
  <c r="B285" s="1"/>
  <c r="B286" s="1"/>
  <c r="B287" s="1"/>
  <c r="B288" s="1"/>
  <c r="B289" s="1"/>
  <c r="B290" s="1"/>
  <c r="B291" s="1"/>
  <c r="B292" s="1"/>
  <c r="B293" s="1"/>
  <c r="B294" s="1"/>
  <c r="B295" s="1"/>
  <c r="B296" s="1"/>
  <c r="B297" s="1"/>
  <c r="B298" s="1"/>
  <c r="B299" s="1"/>
  <c r="B300" s="1"/>
  <c r="B301" s="1"/>
  <c r="B302" s="1"/>
  <c r="B303" s="1"/>
  <c r="B304" s="1"/>
  <c r="B305" s="1"/>
  <c r="B306" s="1"/>
  <c r="B307" s="1"/>
  <c r="B308" s="1"/>
  <c r="B309" s="1"/>
  <c r="B310" s="1"/>
  <c r="B311" s="1"/>
  <c r="B312" s="1"/>
  <c r="B313" s="1"/>
  <c r="B252"/>
  <c r="B253" s="1"/>
  <c r="B254" s="1"/>
  <c r="B255" s="1"/>
  <c r="B256" s="1"/>
  <c r="B257" s="1"/>
  <c r="B258" s="1"/>
  <c r="B259" s="1"/>
  <c r="B260" s="1"/>
  <c r="B261" s="1"/>
  <c r="B262" s="1"/>
  <c r="B263" s="1"/>
  <c r="B264" s="1"/>
  <c r="B248"/>
  <c r="B249" s="1"/>
  <c r="B241"/>
  <c r="B242" s="1"/>
  <c r="B243" s="1"/>
  <c r="B244" s="1"/>
  <c r="B245" s="1"/>
  <c r="B235"/>
  <c r="B236" s="1"/>
  <c r="B237" s="1"/>
  <c r="B238" s="1"/>
  <c r="B232"/>
  <c r="B226"/>
  <c r="B227" s="1"/>
  <c r="B228" s="1"/>
  <c r="B229" s="1"/>
  <c r="G4770" i="10"/>
  <c r="H4770" s="1"/>
  <c r="H4771" s="1"/>
  <c r="H4772" s="1"/>
  <c r="H4773" s="1"/>
  <c r="B4773" s="1"/>
  <c r="G4759"/>
  <c r="H4759" s="1"/>
  <c r="H4760" s="1"/>
  <c r="H4761" s="1"/>
  <c r="H4762" s="1"/>
  <c r="B4762" s="1"/>
  <c r="G4792"/>
  <c r="H4792" s="1"/>
  <c r="H4793" s="1"/>
  <c r="H4794" s="1"/>
  <c r="H4795" s="1"/>
  <c r="B4795" s="1"/>
  <c r="G4736"/>
  <c r="H4736" s="1"/>
  <c r="H4737" s="1"/>
  <c r="H4738" s="1"/>
  <c r="H4739" s="1"/>
  <c r="B4739" s="1"/>
  <c r="F650" i="16"/>
  <c r="F646"/>
  <c r="F643"/>
  <c r="F642"/>
  <c r="F641"/>
  <c r="F461"/>
  <c r="F12"/>
  <c r="G25"/>
  <c r="G13"/>
  <c r="G14"/>
  <c r="G17"/>
  <c r="G18"/>
  <c r="G19"/>
  <c r="G21"/>
  <c r="G22"/>
  <c r="G23"/>
  <c r="G24"/>
  <c r="G26"/>
  <c r="G27"/>
  <c r="G28"/>
  <c r="G33"/>
  <c r="G34"/>
  <c r="G35"/>
  <c r="G36"/>
  <c r="G38"/>
  <c r="G39"/>
  <c r="G40"/>
  <c r="G41"/>
  <c r="G44"/>
  <c r="G45"/>
  <c r="G46"/>
  <c r="G47"/>
  <c r="G52"/>
  <c r="F56"/>
  <c r="G56" s="1"/>
  <c r="F57"/>
  <c r="G57" s="1"/>
  <c r="F58"/>
  <c r="G58" s="1"/>
  <c r="F59"/>
  <c r="G59" s="1"/>
  <c r="F60"/>
  <c r="G60" s="1"/>
  <c r="F61"/>
  <c r="G61" s="1"/>
  <c r="F67"/>
  <c r="G67" s="1"/>
  <c r="F68"/>
  <c r="G68" s="1"/>
  <c r="F70"/>
  <c r="G70" s="1"/>
  <c r="F71"/>
  <c r="G71" s="1"/>
  <c r="F72"/>
  <c r="G72" s="1"/>
  <c r="F74"/>
  <c r="G74" s="1"/>
  <c r="F75"/>
  <c r="G75" s="1"/>
  <c r="F76"/>
  <c r="G76" s="1"/>
  <c r="F77"/>
  <c r="G77" s="1"/>
  <c r="F79"/>
  <c r="G79" s="1"/>
  <c r="F80"/>
  <c r="G80" s="1"/>
  <c r="F81"/>
  <c r="G81" s="1"/>
  <c r="F83"/>
  <c r="F82" s="1"/>
  <c r="G82" s="1"/>
  <c r="F84"/>
  <c r="F85"/>
  <c r="F86"/>
  <c r="G83"/>
  <c r="G84"/>
  <c r="G85"/>
  <c r="G86"/>
  <c r="F87"/>
  <c r="G87" s="1"/>
  <c r="G88"/>
  <c r="F90"/>
  <c r="G90"/>
  <c r="F91"/>
  <c r="F92"/>
  <c r="G92" s="1"/>
  <c r="F93"/>
  <c r="G93" s="1"/>
  <c r="G89"/>
  <c r="G91"/>
  <c r="F95"/>
  <c r="F96"/>
  <c r="F97"/>
  <c r="G94"/>
  <c r="G95"/>
  <c r="G96"/>
  <c r="G97"/>
  <c r="F99"/>
  <c r="G99"/>
  <c r="F100"/>
  <c r="G100"/>
  <c r="F102"/>
  <c r="G102"/>
  <c r="F103"/>
  <c r="G103"/>
  <c r="F104"/>
  <c r="G104"/>
  <c r="F105"/>
  <c r="G105"/>
  <c r="F106"/>
  <c r="G106"/>
  <c r="F107"/>
  <c r="G107"/>
  <c r="F108"/>
  <c r="G108"/>
  <c r="F109"/>
  <c r="G109"/>
  <c r="F110"/>
  <c r="G110"/>
  <c r="F111"/>
  <c r="G111"/>
  <c r="F112"/>
  <c r="G112"/>
  <c r="F113"/>
  <c r="G113"/>
  <c r="F114"/>
  <c r="G114"/>
  <c r="F115"/>
  <c r="G115"/>
  <c r="F116"/>
  <c r="G116"/>
  <c r="F117"/>
  <c r="G117"/>
  <c r="F118"/>
  <c r="G118"/>
  <c r="F119"/>
  <c r="G119"/>
  <c r="G120"/>
  <c r="F121"/>
  <c r="G121" s="1"/>
  <c r="F122"/>
  <c r="G122" s="1"/>
  <c r="G123"/>
  <c r="G124"/>
  <c r="F125"/>
  <c r="G125" s="1"/>
  <c r="F126"/>
  <c r="G126" s="1"/>
  <c r="F127"/>
  <c r="G127" s="1"/>
  <c r="F128"/>
  <c r="G128" s="1"/>
  <c r="F129"/>
  <c r="G129" s="1"/>
  <c r="F130"/>
  <c r="G130" s="1"/>
  <c r="F131"/>
  <c r="G131" s="1"/>
  <c r="F132"/>
  <c r="G132" s="1"/>
  <c r="F133"/>
  <c r="G133" s="1"/>
  <c r="F134"/>
  <c r="G134" s="1"/>
  <c r="F135"/>
  <c r="G135" s="1"/>
  <c r="F136"/>
  <c r="G136" s="1"/>
  <c r="G137"/>
  <c r="F138"/>
  <c r="G138"/>
  <c r="F139"/>
  <c r="G139"/>
  <c r="F140"/>
  <c r="G140"/>
  <c r="F141"/>
  <c r="G141"/>
  <c r="F142"/>
  <c r="G142"/>
  <c r="F143"/>
  <c r="G143"/>
  <c r="F144"/>
  <c r="G144"/>
  <c r="F145"/>
  <c r="G145"/>
  <c r="F146"/>
  <c r="G146"/>
  <c r="F147"/>
  <c r="G147"/>
  <c r="F148"/>
  <c r="G148"/>
  <c r="F149"/>
  <c r="G149"/>
  <c r="G150"/>
  <c r="F151"/>
  <c r="G151" s="1"/>
  <c r="F152"/>
  <c r="G152" s="1"/>
  <c r="F153"/>
  <c r="G153" s="1"/>
  <c r="F154"/>
  <c r="G154" s="1"/>
  <c r="F155"/>
  <c r="G155" s="1"/>
  <c r="F156"/>
  <c r="G156" s="1"/>
  <c r="F157"/>
  <c r="G157" s="1"/>
  <c r="F158"/>
  <c r="G158" s="1"/>
  <c r="F159"/>
  <c r="G159" s="1"/>
  <c r="F160"/>
  <c r="G160" s="1"/>
  <c r="F161"/>
  <c r="G161" s="1"/>
  <c r="F162"/>
  <c r="G162" s="1"/>
  <c r="G163"/>
  <c r="G164"/>
  <c r="G165"/>
  <c r="G166"/>
  <c r="G167"/>
  <c r="G168"/>
  <c r="G169"/>
  <c r="G170"/>
  <c r="G171"/>
  <c r="F172"/>
  <c r="G172"/>
  <c r="F173"/>
  <c r="G173"/>
  <c r="F174"/>
  <c r="G174"/>
  <c r="G175"/>
  <c r="F176"/>
  <c r="G176" s="1"/>
  <c r="F177"/>
  <c r="G177" s="1"/>
  <c r="G178"/>
  <c r="F179"/>
  <c r="G179"/>
  <c r="F180"/>
  <c r="G180"/>
  <c r="F181"/>
  <c r="G181"/>
  <c r="F182"/>
  <c r="G182"/>
  <c r="F183"/>
  <c r="G183"/>
  <c r="F184"/>
  <c r="G184"/>
  <c r="G185"/>
  <c r="F186"/>
  <c r="G186" s="1"/>
  <c r="F187"/>
  <c r="G187" s="1"/>
  <c r="F188"/>
  <c r="G188" s="1"/>
  <c r="G189"/>
  <c r="F190"/>
  <c r="G190"/>
  <c r="F191"/>
  <c r="G191"/>
  <c r="F192"/>
  <c r="G192"/>
  <c r="F193"/>
  <c r="G193"/>
  <c r="G194"/>
  <c r="F195"/>
  <c r="G195" s="1"/>
  <c r="F196"/>
  <c r="G196" s="1"/>
  <c r="F197"/>
  <c r="G197" s="1"/>
  <c r="F198"/>
  <c r="G198" s="1"/>
  <c r="F199"/>
  <c r="G199" s="1"/>
  <c r="F200"/>
  <c r="G200" s="1"/>
  <c r="F201"/>
  <c r="G201" s="1"/>
  <c r="F202"/>
  <c r="G202" s="1"/>
  <c r="F203"/>
  <c r="G203" s="1"/>
  <c r="G204"/>
  <c r="G205"/>
  <c r="G206"/>
  <c r="F207"/>
  <c r="G207"/>
  <c r="F208"/>
  <c r="G208"/>
  <c r="F213"/>
  <c r="G213"/>
  <c r="F214"/>
  <c r="G214"/>
  <c r="F215"/>
  <c r="G215"/>
  <c r="F216"/>
  <c r="G216"/>
  <c r="F217"/>
  <c r="G217"/>
  <c r="F218"/>
  <c r="G218"/>
  <c r="F219"/>
  <c r="G219"/>
  <c r="F220"/>
  <c r="G220"/>
  <c r="F221"/>
  <c r="G221"/>
  <c r="G222"/>
  <c r="G223"/>
  <c r="F224"/>
  <c r="G224"/>
  <c r="F225"/>
  <c r="G225"/>
  <c r="F226"/>
  <c r="G226"/>
  <c r="F227"/>
  <c r="G227"/>
  <c r="F228"/>
  <c r="G228"/>
  <c r="F229"/>
  <c r="G229"/>
  <c r="G230"/>
  <c r="F231"/>
  <c r="G231" s="1"/>
  <c r="F232"/>
  <c r="G232" s="1"/>
  <c r="F233"/>
  <c r="G233" s="1"/>
  <c r="F234"/>
  <c r="G234" s="1"/>
  <c r="F235"/>
  <c r="G235" s="1"/>
  <c r="G236"/>
  <c r="G237"/>
  <c r="F238"/>
  <c r="G238" s="1"/>
  <c r="F239"/>
  <c r="G239" s="1"/>
  <c r="F240"/>
  <c r="G240" s="1"/>
  <c r="G241"/>
  <c r="G242"/>
  <c r="G243"/>
  <c r="G244"/>
  <c r="G245"/>
  <c r="G246"/>
  <c r="G247"/>
  <c r="G248"/>
  <c r="G249"/>
  <c r="G250"/>
  <c r="G251"/>
  <c r="F252"/>
  <c r="G252"/>
  <c r="F253"/>
  <c r="G253"/>
  <c r="F254"/>
  <c r="G254"/>
  <c r="F255"/>
  <c r="G255"/>
  <c r="G256"/>
  <c r="F257"/>
  <c r="G257" s="1"/>
  <c r="F258"/>
  <c r="G258" s="1"/>
  <c r="F259"/>
  <c r="G259" s="1"/>
  <c r="F260"/>
  <c r="G260" s="1"/>
  <c r="G261"/>
  <c r="F262"/>
  <c r="G262"/>
  <c r="F263"/>
  <c r="G263"/>
  <c r="F264"/>
  <c r="G264"/>
  <c r="F265"/>
  <c r="G265"/>
  <c r="G266"/>
  <c r="F267"/>
  <c r="G267" s="1"/>
  <c r="F268"/>
  <c r="G268" s="1"/>
  <c r="F269"/>
  <c r="G269" s="1"/>
  <c r="F270"/>
  <c r="G270" s="1"/>
  <c r="G271"/>
  <c r="F272"/>
  <c r="G272"/>
  <c r="F273"/>
  <c r="G273"/>
  <c r="F274"/>
  <c r="G274"/>
  <c r="F275"/>
  <c r="G275"/>
  <c r="F276"/>
  <c r="G276"/>
  <c r="F277"/>
  <c r="G277"/>
  <c r="G278"/>
  <c r="F279"/>
  <c r="G279" s="1"/>
  <c r="F280"/>
  <c r="G280" s="1"/>
  <c r="F281"/>
  <c r="G281" s="1"/>
  <c r="G282"/>
  <c r="F283"/>
  <c r="G283"/>
  <c r="F284"/>
  <c r="G284"/>
  <c r="F285"/>
  <c r="G285"/>
  <c r="F286"/>
  <c r="G286"/>
  <c r="G287"/>
  <c r="F288"/>
  <c r="G288" s="1"/>
  <c r="F289"/>
  <c r="G289" s="1"/>
  <c r="F290"/>
  <c r="G290" s="1"/>
  <c r="F291"/>
  <c r="G291" s="1"/>
  <c r="G292"/>
  <c r="G293"/>
  <c r="F294"/>
  <c r="G294" s="1"/>
  <c r="F295"/>
  <c r="G295" s="1"/>
  <c r="G296"/>
  <c r="G297"/>
  <c r="F298"/>
  <c r="G298" s="1"/>
  <c r="F299"/>
  <c r="G299" s="1"/>
  <c r="F300"/>
  <c r="G300" s="1"/>
  <c r="F301"/>
  <c r="G301" s="1"/>
  <c r="G302"/>
  <c r="F303"/>
  <c r="G303"/>
  <c r="F304"/>
  <c r="G304"/>
  <c r="G305"/>
  <c r="F306"/>
  <c r="G306" s="1"/>
  <c r="G307"/>
  <c r="F308"/>
  <c r="G308"/>
  <c r="F309"/>
  <c r="G309"/>
  <c r="F310"/>
  <c r="G310"/>
  <c r="F311"/>
  <c r="G311"/>
  <c r="F312"/>
  <c r="G312"/>
  <c r="F313"/>
  <c r="G313"/>
  <c r="F314"/>
  <c r="G314"/>
  <c r="G315"/>
  <c r="F316"/>
  <c r="G316" s="1"/>
  <c r="G317"/>
  <c r="F318"/>
  <c r="G318"/>
  <c r="G319"/>
  <c r="F320"/>
  <c r="G320" s="1"/>
  <c r="G321"/>
  <c r="G322"/>
  <c r="F323"/>
  <c r="G323" s="1"/>
  <c r="F324"/>
  <c r="G324" s="1"/>
  <c r="F325"/>
  <c r="G325" s="1"/>
  <c r="F326"/>
  <c r="G326" s="1"/>
  <c r="F327"/>
  <c r="G327" s="1"/>
  <c r="F328"/>
  <c r="G328" s="1"/>
  <c r="G329"/>
  <c r="G330"/>
  <c r="G331"/>
  <c r="F332"/>
  <c r="G332"/>
  <c r="F333"/>
  <c r="G333"/>
  <c r="F334"/>
  <c r="G334"/>
  <c r="F335"/>
  <c r="G335"/>
  <c r="G336"/>
  <c r="F337"/>
  <c r="G337" s="1"/>
  <c r="F338"/>
  <c r="G338" s="1"/>
  <c r="F339"/>
  <c r="G339" s="1"/>
  <c r="G340"/>
  <c r="G341"/>
  <c r="F342"/>
  <c r="G342" s="1"/>
  <c r="F343"/>
  <c r="G343" s="1"/>
  <c r="F344"/>
  <c r="G344" s="1"/>
  <c r="F345"/>
  <c r="G345" s="1"/>
  <c r="F346"/>
  <c r="G346" s="1"/>
  <c r="F347"/>
  <c r="G347" s="1"/>
  <c r="G348"/>
  <c r="F349"/>
  <c r="G349"/>
  <c r="F350"/>
  <c r="G350"/>
  <c r="G351"/>
  <c r="G352"/>
  <c r="F353"/>
  <c r="G353"/>
  <c r="F354"/>
  <c r="G354"/>
  <c r="F355"/>
  <c r="G355"/>
  <c r="F356"/>
  <c r="G356"/>
  <c r="F357"/>
  <c r="G357"/>
  <c r="F358"/>
  <c r="G358"/>
  <c r="F359"/>
  <c r="G359"/>
  <c r="F360"/>
  <c r="G360"/>
  <c r="F361"/>
  <c r="G361"/>
  <c r="G362"/>
  <c r="F363"/>
  <c r="G363" s="1"/>
  <c r="F364"/>
  <c r="G364" s="1"/>
  <c r="F365"/>
  <c r="G365" s="1"/>
  <c r="F366"/>
  <c r="G366" s="1"/>
  <c r="F367"/>
  <c r="G367" s="1"/>
  <c r="F368"/>
  <c r="G368" s="1"/>
  <c r="G369"/>
  <c r="F370"/>
  <c r="G370"/>
  <c r="F371"/>
  <c r="G371"/>
  <c r="F372"/>
  <c r="G372"/>
  <c r="F373"/>
  <c r="G373"/>
  <c r="G374"/>
  <c r="G375"/>
  <c r="G376"/>
  <c r="G377"/>
  <c r="G378"/>
  <c r="G379"/>
  <c r="G380"/>
  <c r="G381"/>
  <c r="G382"/>
  <c r="G383"/>
  <c r="G384"/>
  <c r="G385"/>
  <c r="G386"/>
  <c r="G387"/>
  <c r="G388"/>
  <c r="G389"/>
  <c r="G390"/>
  <c r="G391"/>
  <c r="G392"/>
  <c r="G393"/>
  <c r="G394"/>
  <c r="G395"/>
  <c r="G396"/>
  <c r="G397"/>
  <c r="F398"/>
  <c r="G398"/>
  <c r="F399"/>
  <c r="G399"/>
  <c r="F400"/>
  <c r="G400"/>
  <c r="G401"/>
  <c r="F402"/>
  <c r="G402" s="1"/>
  <c r="F403"/>
  <c r="G403" s="1"/>
  <c r="G404"/>
  <c r="F405"/>
  <c r="G405"/>
  <c r="G406"/>
  <c r="F407"/>
  <c r="G407" s="1"/>
  <c r="F408"/>
  <c r="G408" s="1"/>
  <c r="F409"/>
  <c r="G409" s="1"/>
  <c r="G410"/>
  <c r="F411"/>
  <c r="G411"/>
  <c r="F412"/>
  <c r="G412"/>
  <c r="G413"/>
  <c r="F414"/>
  <c r="G414" s="1"/>
  <c r="F415"/>
  <c r="G415" s="1"/>
  <c r="F416"/>
  <c r="G416" s="1"/>
  <c r="F417"/>
  <c r="G417" s="1"/>
  <c r="F418"/>
  <c r="G418" s="1"/>
  <c r="F419"/>
  <c r="G419" s="1"/>
  <c r="G420"/>
  <c r="G421"/>
  <c r="F422"/>
  <c r="G422" s="1"/>
  <c r="F423"/>
  <c r="G423" s="1"/>
  <c r="F424"/>
  <c r="G424" s="1"/>
  <c r="F425"/>
  <c r="G425" s="1"/>
  <c r="F426"/>
  <c r="G426" s="1"/>
  <c r="F427"/>
  <c r="G427" s="1"/>
  <c r="G428"/>
  <c r="F429"/>
  <c r="G429"/>
  <c r="F430"/>
  <c r="G430"/>
  <c r="G431"/>
  <c r="F432"/>
  <c r="G432" s="1"/>
  <c r="F433"/>
  <c r="G433" s="1"/>
  <c r="F434"/>
  <c r="G434" s="1"/>
  <c r="F435"/>
  <c r="G435" s="1"/>
  <c r="F436"/>
  <c r="G436" s="1"/>
  <c r="G437"/>
  <c r="F438"/>
  <c r="G438"/>
  <c r="F439"/>
  <c r="G439"/>
  <c r="F440"/>
  <c r="G440"/>
  <c r="F441"/>
  <c r="G441"/>
  <c r="F442"/>
  <c r="G442"/>
  <c r="F443"/>
  <c r="G443"/>
  <c r="F444"/>
  <c r="G444"/>
  <c r="F445"/>
  <c r="G445"/>
  <c r="F446"/>
  <c r="G446"/>
  <c r="F447"/>
  <c r="G447"/>
  <c r="F448"/>
  <c r="G448"/>
  <c r="F449"/>
  <c r="G449"/>
  <c r="F450"/>
  <c r="G450"/>
  <c r="F451"/>
  <c r="G451"/>
  <c r="F452"/>
  <c r="G452"/>
  <c r="F453"/>
  <c r="G453"/>
  <c r="F454"/>
  <c r="G454"/>
  <c r="F455"/>
  <c r="G455"/>
  <c r="F456"/>
  <c r="G456"/>
  <c r="F457"/>
  <c r="G457"/>
  <c r="G458"/>
  <c r="G459"/>
  <c r="F460"/>
  <c r="G460"/>
  <c r="G461"/>
  <c r="F462"/>
  <c r="G462" s="1"/>
  <c r="G463"/>
  <c r="G464"/>
  <c r="F465"/>
  <c r="G465" s="1"/>
  <c r="F466"/>
  <c r="G466" s="1"/>
  <c r="F467"/>
  <c r="G467" s="1"/>
  <c r="F468"/>
  <c r="G468" s="1"/>
  <c r="F469"/>
  <c r="G469" s="1"/>
  <c r="F470"/>
  <c r="G470" s="1"/>
  <c r="F471"/>
  <c r="G471" s="1"/>
  <c r="F472"/>
  <c r="G472" s="1"/>
  <c r="F473"/>
  <c r="G473" s="1"/>
  <c r="F474"/>
  <c r="G474" s="1"/>
  <c r="F475"/>
  <c r="G475" s="1"/>
  <c r="F476"/>
  <c r="G476" s="1"/>
  <c r="F477"/>
  <c r="G477" s="1"/>
  <c r="G478"/>
  <c r="F479"/>
  <c r="G479"/>
  <c r="F480"/>
  <c r="G480"/>
  <c r="F481"/>
  <c r="G481"/>
  <c r="F482"/>
  <c r="G482"/>
  <c r="F483"/>
  <c r="G483"/>
  <c r="F484"/>
  <c r="G484"/>
  <c r="F485"/>
  <c r="G485"/>
  <c r="F486"/>
  <c r="G486"/>
  <c r="F487"/>
  <c r="G487"/>
  <c r="F488"/>
  <c r="G488"/>
  <c r="F489"/>
  <c r="G489"/>
  <c r="F490"/>
  <c r="G490"/>
  <c r="F491"/>
  <c r="G491"/>
  <c r="G492"/>
  <c r="F493"/>
  <c r="G493" s="1"/>
  <c r="F494"/>
  <c r="G494" s="1"/>
  <c r="F495"/>
  <c r="G495" s="1"/>
  <c r="F496"/>
  <c r="G496" s="1"/>
  <c r="G497"/>
  <c r="F498"/>
  <c r="G498"/>
  <c r="G499"/>
  <c r="F500"/>
  <c r="G500" s="1"/>
  <c r="F501"/>
  <c r="G501" s="1"/>
  <c r="F502"/>
  <c r="G502" s="1"/>
  <c r="F503"/>
  <c r="G503" s="1"/>
  <c r="F504"/>
  <c r="G504" s="1"/>
  <c r="F505"/>
  <c r="G505" s="1"/>
  <c r="F506"/>
  <c r="G506" s="1"/>
  <c r="G507"/>
  <c r="F508"/>
  <c r="G508"/>
  <c r="F509"/>
  <c r="G509"/>
  <c r="F510"/>
  <c r="G510"/>
  <c r="F511"/>
  <c r="G511"/>
  <c r="F512"/>
  <c r="G512"/>
  <c r="F513"/>
  <c r="G513"/>
  <c r="F514"/>
  <c r="G514"/>
  <c r="F515"/>
  <c r="G515"/>
  <c r="F516"/>
  <c r="G516"/>
  <c r="F517"/>
  <c r="G517"/>
  <c r="F518"/>
  <c r="G518"/>
  <c r="F519"/>
  <c r="G519"/>
  <c r="F520"/>
  <c r="G520"/>
  <c r="F521"/>
  <c r="G521"/>
  <c r="F522"/>
  <c r="G522"/>
  <c r="F523"/>
  <c r="G523"/>
  <c r="F524"/>
  <c r="G524"/>
  <c r="F525"/>
  <c r="G525"/>
  <c r="F526"/>
  <c r="G526"/>
  <c r="F527"/>
  <c r="G527"/>
  <c r="F528"/>
  <c r="G528"/>
  <c r="F529"/>
  <c r="G529"/>
  <c r="F530"/>
  <c r="G530"/>
  <c r="F531"/>
  <c r="G531"/>
  <c r="F532"/>
  <c r="G532"/>
  <c r="F533"/>
  <c r="G533"/>
  <c r="F534"/>
  <c r="G534"/>
  <c r="F535"/>
  <c r="G535"/>
  <c r="F536"/>
  <c r="G536"/>
  <c r="F537"/>
  <c r="G537"/>
  <c r="F538"/>
  <c r="G538"/>
  <c r="F539"/>
  <c r="G539"/>
  <c r="F540"/>
  <c r="G540"/>
  <c r="F541"/>
  <c r="G541"/>
  <c r="G542"/>
  <c r="F543"/>
  <c r="G543" s="1"/>
  <c r="F544"/>
  <c r="G544" s="1"/>
  <c r="F545"/>
  <c r="G545" s="1"/>
  <c r="F546"/>
  <c r="G546" s="1"/>
  <c r="F547"/>
  <c r="G547" s="1"/>
  <c r="F548"/>
  <c r="G548" s="1"/>
  <c r="F549"/>
  <c r="G549" s="1"/>
  <c r="G550"/>
  <c r="F551"/>
  <c r="G551"/>
  <c r="F552"/>
  <c r="G552"/>
  <c r="F553"/>
  <c r="G553"/>
  <c r="F554"/>
  <c r="G554"/>
  <c r="F555"/>
  <c r="G555"/>
  <c r="F562"/>
  <c r="G562"/>
  <c r="F563"/>
  <c r="G563"/>
  <c r="F564"/>
  <c r="G564"/>
  <c r="F565"/>
  <c r="G565"/>
  <c r="F566"/>
  <c r="G566"/>
  <c r="G567"/>
  <c r="G568"/>
  <c r="G569"/>
  <c r="G570"/>
  <c r="G571"/>
  <c r="G572"/>
  <c r="G573"/>
  <c r="G574"/>
  <c r="F575"/>
  <c r="G575"/>
  <c r="G576"/>
  <c r="F577"/>
  <c r="G577" s="1"/>
  <c r="F578"/>
  <c r="G578" s="1"/>
  <c r="F579"/>
  <c r="G579" s="1"/>
  <c r="G580"/>
  <c r="F581"/>
  <c r="G581"/>
  <c r="F582"/>
  <c r="G582"/>
  <c r="F583"/>
  <c r="G583"/>
  <c r="G584"/>
  <c r="F585"/>
  <c r="G585" s="1"/>
  <c r="F586"/>
  <c r="G586" s="1"/>
  <c r="F587"/>
  <c r="G587" s="1"/>
  <c r="F588"/>
  <c r="G588" s="1"/>
  <c r="F589"/>
  <c r="G589" s="1"/>
  <c r="F590"/>
  <c r="G590" s="1"/>
  <c r="G591"/>
  <c r="F592"/>
  <c r="G592"/>
  <c r="F593"/>
  <c r="G593"/>
  <c r="F594"/>
  <c r="G594"/>
  <c r="F595"/>
  <c r="G595"/>
  <c r="F596"/>
  <c r="G596"/>
  <c r="F597"/>
  <c r="G597"/>
  <c r="G598"/>
  <c r="F599"/>
  <c r="G599" s="1"/>
  <c r="F600"/>
  <c r="G600" s="1"/>
  <c r="F601"/>
  <c r="G601" s="1"/>
  <c r="F602"/>
  <c r="G602" s="1"/>
  <c r="F603"/>
  <c r="G603" s="1"/>
  <c r="F604"/>
  <c r="G604" s="1"/>
  <c r="G605"/>
  <c r="F606"/>
  <c r="G606"/>
  <c r="F607"/>
  <c r="G607"/>
  <c r="F608"/>
  <c r="G608"/>
  <c r="F609"/>
  <c r="G609"/>
  <c r="F610"/>
  <c r="G610"/>
  <c r="F611"/>
  <c r="G611"/>
  <c r="G612"/>
  <c r="F613"/>
  <c r="G613" s="1"/>
  <c r="F614"/>
  <c r="G614" s="1"/>
  <c r="F615"/>
  <c r="G615" s="1"/>
  <c r="F616"/>
  <c r="G616" s="1"/>
  <c r="F617"/>
  <c r="G617" s="1"/>
  <c r="F618"/>
  <c r="G618" s="1"/>
  <c r="G619"/>
  <c r="F620"/>
  <c r="G620"/>
  <c r="F621"/>
  <c r="G621"/>
  <c r="F622"/>
  <c r="G622"/>
  <c r="F623"/>
  <c r="G623"/>
  <c r="F624"/>
  <c r="G624"/>
  <c r="F625"/>
  <c r="G625"/>
  <c r="G626"/>
  <c r="F627"/>
  <c r="G627" s="1"/>
  <c r="F628"/>
  <c r="G628" s="1"/>
  <c r="F629"/>
  <c r="G629" s="1"/>
  <c r="F630"/>
  <c r="G630" s="1"/>
  <c r="F631"/>
  <c r="G631" s="1"/>
  <c r="F638"/>
  <c r="G638" s="1"/>
  <c r="F639"/>
  <c r="G639" s="1"/>
  <c r="G640"/>
  <c r="G641"/>
  <c r="G642"/>
  <c r="G643"/>
  <c r="F644"/>
  <c r="G644" s="1"/>
  <c r="F645"/>
  <c r="G645" s="1"/>
  <c r="G646"/>
  <c r="G647"/>
  <c r="G648"/>
  <c r="F649"/>
  <c r="G649"/>
  <c r="G650"/>
  <c r="G651"/>
  <c r="G652"/>
  <c r="G653"/>
  <c r="G654"/>
  <c r="G655"/>
  <c r="G656"/>
  <c r="G657"/>
  <c r="G658"/>
  <c r="G659"/>
  <c r="F660"/>
  <c r="G660"/>
  <c r="G661"/>
  <c r="F662"/>
  <c r="G662" s="1"/>
  <c r="F663"/>
  <c r="G663" s="1"/>
  <c r="F664"/>
  <c r="G664" s="1"/>
  <c r="F665"/>
  <c r="G665" s="1"/>
  <c r="F666"/>
  <c r="G666" s="1"/>
  <c r="F667"/>
  <c r="G667" s="1"/>
  <c r="F668"/>
  <c r="G668" s="1"/>
  <c r="F669"/>
  <c r="G669" s="1"/>
  <c r="F670"/>
  <c r="G670" s="1"/>
  <c r="F671"/>
  <c r="G671" s="1"/>
  <c r="F672"/>
  <c r="G672" s="1"/>
  <c r="F673"/>
  <c r="G673" s="1"/>
  <c r="F674"/>
  <c r="G674" s="1"/>
  <c r="F675"/>
  <c r="G675" s="1"/>
  <c r="G676"/>
  <c r="F677"/>
  <c r="G677"/>
  <c r="F678"/>
  <c r="G678"/>
  <c r="F679"/>
  <c r="G679"/>
  <c r="F680"/>
  <c r="G680"/>
  <c r="F681"/>
  <c r="G681"/>
  <c r="F682"/>
  <c r="G682"/>
  <c r="F683"/>
  <c r="G683"/>
  <c r="F684"/>
  <c r="G684"/>
  <c r="F685"/>
  <c r="G685"/>
  <c r="F686"/>
  <c r="G686"/>
  <c r="F687"/>
  <c r="G687"/>
  <c r="F688"/>
  <c r="G688"/>
  <c r="F689"/>
  <c r="G689"/>
  <c r="G690"/>
  <c r="G691"/>
  <c r="G692"/>
  <c r="F693"/>
  <c r="G693" s="1"/>
  <c r="F694"/>
  <c r="G694" s="1"/>
  <c r="G695"/>
  <c r="G696"/>
  <c r="G697"/>
  <c r="F698"/>
  <c r="G698"/>
  <c r="G699"/>
  <c r="F700"/>
  <c r="G700" s="1"/>
  <c r="F701"/>
  <c r="G701" s="1"/>
  <c r="F702"/>
  <c r="G702" s="1"/>
  <c r="F703"/>
  <c r="G703" s="1"/>
  <c r="F704"/>
  <c r="G704" s="1"/>
  <c r="F705"/>
  <c r="G705" s="1"/>
  <c r="F706"/>
  <c r="G706" s="1"/>
  <c r="F707"/>
  <c r="G707" s="1"/>
  <c r="F708"/>
  <c r="G708" s="1"/>
  <c r="F709"/>
  <c r="G709" s="1"/>
  <c r="F710"/>
  <c r="G710" s="1"/>
  <c r="F711"/>
  <c r="G711" s="1"/>
  <c r="F712"/>
  <c r="G712" s="1"/>
  <c r="F713"/>
  <c r="G713" s="1"/>
  <c r="F714"/>
  <c r="G714" s="1"/>
  <c r="F715"/>
  <c r="G715" s="1"/>
  <c r="F716"/>
  <c r="G716" s="1"/>
  <c r="F717"/>
  <c r="G717" s="1"/>
  <c r="F718"/>
  <c r="G718" s="1"/>
  <c r="F719"/>
  <c r="G719" s="1"/>
  <c r="F720"/>
  <c r="G720" s="1"/>
  <c r="F721"/>
  <c r="G721" s="1"/>
  <c r="F722"/>
  <c r="G722" s="1"/>
  <c r="G723"/>
  <c r="F724"/>
  <c r="G724"/>
  <c r="G725"/>
  <c r="G726"/>
  <c r="G727"/>
  <c r="F728"/>
  <c r="G728" s="1"/>
  <c r="F729"/>
  <c r="G729" s="1"/>
  <c r="F730"/>
  <c r="G730" s="1"/>
  <c r="F731"/>
  <c r="G731" s="1"/>
  <c r="F732"/>
  <c r="G732" s="1"/>
  <c r="F733"/>
  <c r="G733" s="1"/>
  <c r="F734"/>
  <c r="G734" s="1"/>
  <c r="G735"/>
  <c r="F736"/>
  <c r="G736"/>
  <c r="F737"/>
  <c r="G737"/>
  <c r="F738"/>
  <c r="G738"/>
  <c r="F739"/>
  <c r="G739"/>
  <c r="F740"/>
  <c r="G740"/>
  <c r="F741"/>
  <c r="G741"/>
  <c r="F742"/>
  <c r="G742"/>
  <c r="G743"/>
  <c r="G744"/>
  <c r="F745"/>
  <c r="G745"/>
  <c r="F746"/>
  <c r="G746"/>
  <c r="F747"/>
  <c r="G747"/>
  <c r="F748"/>
  <c r="G748"/>
  <c r="F749"/>
  <c r="G749"/>
  <c r="G750"/>
  <c r="G751"/>
  <c r="F752"/>
  <c r="G752"/>
  <c r="F753"/>
  <c r="G753"/>
  <c r="F754"/>
  <c r="G754"/>
  <c r="F755"/>
  <c r="G755"/>
  <c r="F756"/>
  <c r="G756"/>
  <c r="F757"/>
  <c r="G757"/>
  <c r="F758"/>
  <c r="G758"/>
  <c r="F759"/>
  <c r="G759"/>
  <c r="G760"/>
  <c r="F761"/>
  <c r="G761" s="1"/>
  <c r="F762"/>
  <c r="G762" s="1"/>
  <c r="F763"/>
  <c r="G763" s="1"/>
  <c r="F764"/>
  <c r="G764" s="1"/>
  <c r="F765"/>
  <c r="G765" s="1"/>
  <c r="F766"/>
  <c r="G766" s="1"/>
  <c r="F767"/>
  <c r="G767" s="1"/>
  <c r="F768"/>
  <c r="G768" s="1"/>
  <c r="G769"/>
  <c r="G770"/>
  <c r="F771"/>
  <c r="G771" s="1"/>
  <c r="F772"/>
  <c r="G772" s="1"/>
  <c r="F773"/>
  <c r="G773" s="1"/>
  <c r="F774"/>
  <c r="G774" s="1"/>
  <c r="F775"/>
  <c r="G775" s="1"/>
  <c r="F776"/>
  <c r="G776" s="1"/>
  <c r="F777"/>
  <c r="G777" s="1"/>
  <c r="F778"/>
  <c r="G778" s="1"/>
  <c r="F779"/>
  <c r="G779" s="1"/>
  <c r="F780"/>
  <c r="G780" s="1"/>
  <c r="G781"/>
  <c r="F782"/>
  <c r="G782"/>
  <c r="F783"/>
  <c r="G783"/>
  <c r="F784"/>
  <c r="G784"/>
  <c r="F785"/>
  <c r="G785"/>
  <c r="F786"/>
  <c r="G786"/>
  <c r="F787"/>
  <c r="G787"/>
  <c r="F788"/>
  <c r="G788"/>
  <c r="F789"/>
  <c r="G789"/>
  <c r="F790"/>
  <c r="G790"/>
  <c r="F791"/>
  <c r="G791"/>
  <c r="G792"/>
  <c r="G793"/>
  <c r="F794"/>
  <c r="G794"/>
  <c r="F795"/>
  <c r="G795"/>
  <c r="F796"/>
  <c r="G796"/>
  <c r="F797"/>
  <c r="G797"/>
  <c r="G798"/>
  <c r="F799"/>
  <c r="G799" s="1"/>
  <c r="F800"/>
  <c r="G800" s="1"/>
  <c r="F801"/>
  <c r="G801" s="1"/>
  <c r="F802"/>
  <c r="G802" s="1"/>
  <c r="G803"/>
  <c r="G804"/>
  <c r="F805"/>
  <c r="G805" s="1"/>
  <c r="F806"/>
  <c r="G806" s="1"/>
  <c r="F807"/>
  <c r="G807" s="1"/>
  <c r="F808"/>
  <c r="G808" s="1"/>
  <c r="G809"/>
  <c r="F810"/>
  <c r="G810"/>
  <c r="F811"/>
  <c r="G811"/>
  <c r="F812"/>
  <c r="G812"/>
  <c r="F813"/>
  <c r="G813"/>
  <c r="F814"/>
  <c r="G814"/>
  <c r="F815"/>
  <c r="G815"/>
  <c r="F816"/>
  <c r="G816"/>
  <c r="F817"/>
  <c r="G817"/>
  <c r="F818"/>
  <c r="G818"/>
  <c r="F819"/>
  <c r="G819"/>
  <c r="F820"/>
  <c r="G820"/>
  <c r="F821"/>
  <c r="G821"/>
  <c r="G822"/>
  <c r="G823"/>
  <c r="G824"/>
  <c r="G825"/>
  <c r="G826"/>
  <c r="G827"/>
  <c r="G828"/>
  <c r="G829"/>
  <c r="G830"/>
  <c r="G831"/>
  <c r="G832"/>
  <c r="G833"/>
  <c r="G834"/>
  <c r="G835"/>
  <c r="G836"/>
  <c r="G837"/>
  <c r="G838"/>
  <c r="G839"/>
  <c r="G840"/>
  <c r="G841"/>
  <c r="G842"/>
  <c r="G843"/>
  <c r="G844"/>
  <c r="G845"/>
  <c r="F846"/>
  <c r="G846"/>
  <c r="F847"/>
  <c r="G847"/>
  <c r="F848"/>
  <c r="G848"/>
  <c r="G849"/>
  <c r="F850"/>
  <c r="G850" s="1"/>
  <c r="F851"/>
  <c r="G851" s="1"/>
  <c r="F854"/>
  <c r="G854" s="1"/>
  <c r="F855"/>
  <c r="G855" s="1"/>
  <c r="F856"/>
  <c r="G856" s="1"/>
  <c r="F857"/>
  <c r="G857" s="1"/>
  <c r="F858"/>
  <c r="G858" s="1"/>
  <c r="F859"/>
  <c r="G859" s="1"/>
  <c r="F860"/>
  <c r="G860" s="1"/>
  <c r="F861"/>
  <c r="G861" s="1"/>
  <c r="G862"/>
  <c r="F863"/>
  <c r="G863"/>
  <c r="F864"/>
  <c r="G864"/>
  <c r="F865"/>
  <c r="G865"/>
  <c r="F866"/>
  <c r="G866"/>
  <c r="G867"/>
  <c r="G868"/>
  <c r="G869"/>
  <c r="F870"/>
  <c r="G870" s="1"/>
  <c r="F871"/>
  <c r="G871" s="1"/>
  <c r="F872"/>
  <c r="G872" s="1"/>
  <c r="G873"/>
  <c r="F874"/>
  <c r="G874"/>
  <c r="F875"/>
  <c r="G875"/>
  <c r="F876"/>
  <c r="G876"/>
  <c r="F877"/>
  <c r="G877"/>
  <c r="F878"/>
  <c r="G878"/>
  <c r="G879"/>
  <c r="F880"/>
  <c r="G880" s="1"/>
  <c r="F881"/>
  <c r="G881" s="1"/>
  <c r="F882"/>
  <c r="G882" s="1"/>
  <c r="F883"/>
  <c r="G883" s="1"/>
  <c r="F884"/>
  <c r="G884" s="1"/>
  <c r="G885"/>
  <c r="G886"/>
  <c r="G887"/>
  <c r="F888"/>
  <c r="G888"/>
  <c r="G889"/>
  <c r="F890"/>
  <c r="G890" s="1"/>
  <c r="G891"/>
  <c r="F892"/>
  <c r="G892"/>
  <c r="G893"/>
  <c r="F894"/>
  <c r="G894" s="1"/>
  <c r="G895"/>
  <c r="F896"/>
  <c r="G896"/>
  <c r="G897"/>
  <c r="F898"/>
  <c r="G898" s="1"/>
  <c r="G899"/>
  <c r="F900"/>
  <c r="G900"/>
  <c r="G901"/>
  <c r="F902"/>
  <c r="G902" s="1"/>
  <c r="G903"/>
  <c r="F904"/>
  <c r="G904"/>
  <c r="G905"/>
  <c r="F906"/>
  <c r="G906" s="1"/>
  <c r="G907"/>
  <c r="F908"/>
  <c r="G908"/>
  <c r="G909"/>
  <c r="F910"/>
  <c r="G910" s="1"/>
  <c r="G911"/>
  <c r="F912"/>
  <c r="G912"/>
  <c r="G913"/>
  <c r="F914"/>
  <c r="G914" s="1"/>
  <c r="G915"/>
  <c r="F916"/>
  <c r="G916"/>
  <c r="G917"/>
  <c r="F918"/>
  <c r="G918" s="1"/>
  <c r="G919"/>
  <c r="F920"/>
  <c r="G920"/>
  <c r="G921"/>
  <c r="G922"/>
  <c r="F923"/>
  <c r="G923"/>
  <c r="G924"/>
  <c r="F925"/>
  <c r="G925" s="1"/>
  <c r="G926"/>
  <c r="G927"/>
  <c r="F928"/>
  <c r="G928" s="1"/>
  <c r="G929"/>
  <c r="G930"/>
  <c r="G931"/>
  <c r="G932"/>
  <c r="G933"/>
  <c r="G934"/>
  <c r="G935"/>
  <c r="G936"/>
  <c r="G937"/>
  <c r="G938"/>
  <c r="G939"/>
  <c r="G940"/>
  <c r="G941"/>
  <c r="G942"/>
  <c r="G943"/>
  <c r="G944"/>
  <c r="G945"/>
  <c r="G946"/>
  <c r="G947"/>
  <c r="G948"/>
  <c r="G949"/>
  <c r="G950"/>
  <c r="G951"/>
  <c r="G952"/>
  <c r="G953"/>
  <c r="G954"/>
  <c r="G955"/>
  <c r="F956"/>
  <c r="G956"/>
  <c r="F957"/>
  <c r="G957"/>
  <c r="F958"/>
  <c r="G958"/>
  <c r="F959"/>
  <c r="G959"/>
  <c r="F960"/>
  <c r="G960"/>
  <c r="F961"/>
  <c r="G961"/>
  <c r="F962"/>
  <c r="G962"/>
  <c r="F963"/>
  <c r="G963"/>
  <c r="F964"/>
  <c r="G964"/>
  <c r="G965"/>
  <c r="G966"/>
  <c r="G967"/>
  <c r="G968"/>
  <c r="G969"/>
  <c r="G970"/>
  <c r="G971"/>
  <c r="G972"/>
  <c r="G973"/>
  <c r="F974"/>
  <c r="G974" s="1"/>
  <c r="F975"/>
  <c r="G975" s="1"/>
  <c r="F976"/>
  <c r="G976" s="1"/>
  <c r="F977"/>
  <c r="G977" s="1"/>
  <c r="G978"/>
  <c r="F979"/>
  <c r="G979"/>
  <c r="F980"/>
  <c r="G980"/>
  <c r="F981"/>
  <c r="G981"/>
  <c r="F982"/>
  <c r="G982"/>
  <c r="F983"/>
  <c r="G983"/>
  <c r="G984"/>
  <c r="F985"/>
  <c r="G985" s="1"/>
  <c r="F986"/>
  <c r="G986" s="1"/>
  <c r="F987"/>
  <c r="G987" s="1"/>
  <c r="F988"/>
  <c r="G988" s="1"/>
  <c r="G989"/>
  <c r="G990"/>
  <c r="G991"/>
  <c r="G992"/>
  <c r="G993"/>
  <c r="G994"/>
  <c r="G995"/>
  <c r="G996"/>
  <c r="G997"/>
  <c r="F998"/>
  <c r="G998"/>
  <c r="G999"/>
  <c r="G1000"/>
  <c r="G1001"/>
  <c r="G1002"/>
  <c r="G1003"/>
  <c r="G1004"/>
  <c r="G1005"/>
  <c r="G1006"/>
  <c r="G1007"/>
  <c r="F1008"/>
  <c r="G1008" s="1"/>
  <c r="F1009"/>
  <c r="G1009" s="1"/>
  <c r="G1010"/>
  <c r="G1011"/>
  <c r="G1012"/>
  <c r="G1013"/>
  <c r="F1014"/>
  <c r="G1014" s="1"/>
  <c r="F1015"/>
  <c r="G1015" s="1"/>
  <c r="F1016"/>
  <c r="G1016" s="1"/>
  <c r="F1017"/>
  <c r="G1017" s="1"/>
  <c r="F1018"/>
  <c r="G1018" s="1"/>
  <c r="G1019"/>
  <c r="G1020"/>
  <c r="F1021"/>
  <c r="G1021" s="1"/>
  <c r="F1022"/>
  <c r="G1022" s="1"/>
  <c r="F1023"/>
  <c r="G1023" s="1"/>
  <c r="F1024"/>
  <c r="G1024" s="1"/>
  <c r="F1025"/>
  <c r="G1025" s="1"/>
  <c r="F1026"/>
  <c r="G1026" s="1"/>
  <c r="F1027"/>
  <c r="G1027" s="1"/>
  <c r="F1028"/>
  <c r="G1028" s="1"/>
  <c r="G1029"/>
  <c r="F1030"/>
  <c r="G1030"/>
  <c r="F1031"/>
  <c r="G1031"/>
  <c r="F1032"/>
  <c r="G1032"/>
  <c r="F1033"/>
  <c r="G1033"/>
  <c r="F1034"/>
  <c r="G1034"/>
  <c r="F1035"/>
  <c r="G1035"/>
  <c r="F1036"/>
  <c r="G1036"/>
  <c r="F1037"/>
  <c r="G1037"/>
  <c r="G1038"/>
  <c r="F1039"/>
  <c r="G1039" s="1"/>
  <c r="F1040"/>
  <c r="G1040" s="1"/>
  <c r="F1041"/>
  <c r="G1041" s="1"/>
  <c r="F1042"/>
  <c r="G1042" s="1"/>
  <c r="F1043"/>
  <c r="G1043" s="1"/>
  <c r="F1044"/>
  <c r="G1044" s="1"/>
  <c r="F1045"/>
  <c r="G1045" s="1"/>
  <c r="F1046"/>
  <c r="G1046" s="1"/>
  <c r="G1047"/>
  <c r="F1048"/>
  <c r="G1048"/>
  <c r="F1049"/>
  <c r="G1049"/>
  <c r="F1050"/>
  <c r="G1050"/>
  <c r="F1051"/>
  <c r="G1051"/>
  <c r="F1052"/>
  <c r="G1052"/>
  <c r="F1053"/>
  <c r="G1053"/>
  <c r="F1054"/>
  <c r="G1054"/>
  <c r="F1055"/>
  <c r="G1055"/>
  <c r="G1056"/>
  <c r="F1057"/>
  <c r="G1057" s="1"/>
  <c r="F1058"/>
  <c r="G1058" s="1"/>
  <c r="F1059"/>
  <c r="G1059" s="1"/>
  <c r="F1060"/>
  <c r="G1060" s="1"/>
  <c r="F1061"/>
  <c r="G1061" s="1"/>
  <c r="F1062"/>
  <c r="G1062" s="1"/>
  <c r="F1063"/>
  <c r="G1063" s="1"/>
  <c r="F1064"/>
  <c r="G1064" s="1"/>
  <c r="F1065"/>
  <c r="G1065" s="1"/>
  <c r="F1066"/>
  <c r="G1066" s="1"/>
  <c r="F1067"/>
  <c r="G1067" s="1"/>
  <c r="F1068"/>
  <c r="G1068" s="1"/>
  <c r="G1069"/>
  <c r="F1070"/>
  <c r="G1070"/>
  <c r="F1071"/>
  <c r="G1071"/>
  <c r="F1072"/>
  <c r="G1072"/>
  <c r="F1073"/>
  <c r="G1073"/>
  <c r="F1074"/>
  <c r="G1074"/>
  <c r="F1075"/>
  <c r="G1075"/>
  <c r="G1076"/>
  <c r="G1077"/>
  <c r="G1078"/>
  <c r="G1079"/>
  <c r="G1080"/>
  <c r="G1081"/>
  <c r="G1082"/>
  <c r="G1083"/>
  <c r="G1084"/>
  <c r="G1085"/>
  <c r="F1086"/>
  <c r="G1086"/>
  <c r="F1087"/>
  <c r="G1087"/>
  <c r="F1088"/>
  <c r="G1088"/>
  <c r="F1089"/>
  <c r="G1089"/>
  <c r="F1090"/>
  <c r="G1090"/>
  <c r="F1091"/>
  <c r="G1091"/>
  <c r="F1092"/>
  <c r="G1092"/>
  <c r="F1093"/>
  <c r="G1093"/>
  <c r="F1094"/>
  <c r="G1094"/>
  <c r="F1095"/>
  <c r="G1095"/>
  <c r="G1096"/>
  <c r="F1097"/>
  <c r="G1097" s="1"/>
  <c r="F1098"/>
  <c r="G1098" s="1"/>
  <c r="F1099"/>
  <c r="G1099" s="1"/>
  <c r="F1100"/>
  <c r="G1100" s="1"/>
  <c r="F1101"/>
  <c r="G1101" s="1"/>
  <c r="F1102"/>
  <c r="G1102" s="1"/>
  <c r="F1103"/>
  <c r="G1103" s="1"/>
  <c r="G1104"/>
  <c r="F1105"/>
  <c r="G1105"/>
  <c r="F1106"/>
  <c r="G1106"/>
  <c r="F1107"/>
  <c r="G1107"/>
  <c r="G1108"/>
  <c r="F1109"/>
  <c r="G1109" s="1"/>
  <c r="F1110"/>
  <c r="G1110" s="1"/>
  <c r="F1111"/>
  <c r="G1111" s="1"/>
  <c r="F1112"/>
  <c r="G1112" s="1"/>
  <c r="F1113"/>
  <c r="G1113" s="1"/>
  <c r="F1114"/>
  <c r="G1114" s="1"/>
  <c r="F1115"/>
  <c r="G1115" s="1"/>
  <c r="F1116"/>
  <c r="G1116" s="1"/>
  <c r="F1117"/>
  <c r="G1117" s="1"/>
  <c r="F1118"/>
  <c r="G1118" s="1"/>
  <c r="F1119"/>
  <c r="G1119" s="1"/>
  <c r="F1120"/>
  <c r="G1120" s="1"/>
  <c r="F1121"/>
  <c r="G1121" s="1"/>
  <c r="F1122"/>
  <c r="G1122" s="1"/>
  <c r="F1123"/>
  <c r="G1123" s="1"/>
  <c r="F1124"/>
  <c r="G1124" s="1"/>
  <c r="F1125"/>
  <c r="G1125" s="1"/>
  <c r="F1126"/>
  <c r="G1126" s="1"/>
  <c r="F1127"/>
  <c r="G1127" s="1"/>
  <c r="F1128"/>
  <c r="G1128" s="1"/>
  <c r="F1129"/>
  <c r="G1129" s="1"/>
  <c r="F1130"/>
  <c r="G1130" s="1"/>
  <c r="F1131"/>
  <c r="G1131" s="1"/>
  <c r="F1132"/>
  <c r="G1132" s="1"/>
  <c r="F1133"/>
  <c r="G1133" s="1"/>
  <c r="F1134"/>
  <c r="G1134" s="1"/>
  <c r="F1135"/>
  <c r="G1135" s="1"/>
  <c r="F1136"/>
  <c r="G1136" s="1"/>
  <c r="F1137"/>
  <c r="G1137" s="1"/>
  <c r="F1138"/>
  <c r="G1138" s="1"/>
  <c r="F1139"/>
  <c r="G1139" s="1"/>
  <c r="F1140"/>
  <c r="G1140" s="1"/>
  <c r="F1141"/>
  <c r="G1141" s="1"/>
  <c r="F1142"/>
  <c r="G1142" s="1"/>
  <c r="F1143"/>
  <c r="G1143" s="1"/>
  <c r="F1144"/>
  <c r="G1144" s="1"/>
  <c r="F1145"/>
  <c r="G1145" s="1"/>
  <c r="F1146"/>
  <c r="G1146" s="1"/>
  <c r="F1147"/>
  <c r="G1147" s="1"/>
  <c r="F1148"/>
  <c r="G1148" s="1"/>
  <c r="F1149"/>
  <c r="G1149" s="1"/>
  <c r="F1150"/>
  <c r="G1150" s="1"/>
  <c r="F1151"/>
  <c r="G1151" s="1"/>
  <c r="F1152"/>
  <c r="G1152" s="1"/>
  <c r="F1153"/>
  <c r="G1153" s="1"/>
  <c r="F1154"/>
  <c r="G1154" s="1"/>
  <c r="F1155"/>
  <c r="G1155" s="1"/>
  <c r="F1156"/>
  <c r="G1156" s="1"/>
  <c r="F1157"/>
  <c r="G1157" s="1"/>
  <c r="F1158"/>
  <c r="G1158" s="1"/>
  <c r="F1159"/>
  <c r="G1159" s="1"/>
  <c r="F1160"/>
  <c r="G1160" s="1"/>
  <c r="F1161"/>
  <c r="G1161" s="1"/>
  <c r="F1162"/>
  <c r="G1162" s="1"/>
  <c r="F1163"/>
  <c r="G1163" s="1"/>
  <c r="F1164"/>
  <c r="G1164" s="1"/>
  <c r="F1165"/>
  <c r="G1165" s="1"/>
  <c r="F1166"/>
  <c r="G1166" s="1"/>
  <c r="F1167"/>
  <c r="G1167" s="1"/>
  <c r="F1168"/>
  <c r="G1168" s="1"/>
  <c r="G1169"/>
  <c r="F1170"/>
  <c r="G1170"/>
  <c r="F1171"/>
  <c r="G1171"/>
  <c r="F1172"/>
  <c r="G1172"/>
  <c r="F1173"/>
  <c r="G1173"/>
  <c r="F1174"/>
  <c r="G1174"/>
  <c r="F1175"/>
  <c r="G1175"/>
  <c r="F1176"/>
  <c r="G1176"/>
  <c r="F1177"/>
  <c r="G1177"/>
  <c r="F1178"/>
  <c r="G1178"/>
  <c r="F1179"/>
  <c r="G1179"/>
  <c r="F1180"/>
  <c r="G1180"/>
  <c r="F1181"/>
  <c r="G1181"/>
  <c r="F1182"/>
  <c r="G1182"/>
  <c r="F1183"/>
  <c r="G1183"/>
  <c r="F1184"/>
  <c r="G1184"/>
  <c r="F1186"/>
  <c r="G1186"/>
  <c r="G1187"/>
  <c r="F1188"/>
  <c r="G1188" s="1"/>
  <c r="F1189"/>
  <c r="G1189" s="1"/>
  <c r="F1190"/>
  <c r="G1190" s="1"/>
  <c r="F1191"/>
  <c r="G1191" s="1"/>
  <c r="F1192"/>
  <c r="G1192" s="1"/>
  <c r="F1193"/>
  <c r="G1193" s="1"/>
  <c r="F1194"/>
  <c r="G1194" s="1"/>
  <c r="F1195"/>
  <c r="G1195" s="1"/>
  <c r="F1196"/>
  <c r="G1196" s="1"/>
  <c r="F1197"/>
  <c r="G1197" s="1"/>
  <c r="F1198"/>
  <c r="G1198" s="1"/>
  <c r="F1200"/>
  <c r="G1200" s="1"/>
  <c r="F1201"/>
  <c r="G1201" s="1"/>
  <c r="F1202"/>
  <c r="G1202" s="1"/>
  <c r="F1203"/>
  <c r="G1203" s="1"/>
  <c r="F1204"/>
  <c r="G1204" s="1"/>
  <c r="F1205"/>
  <c r="G1205" s="1"/>
  <c r="F1206"/>
  <c r="G1206" s="1"/>
  <c r="F1207"/>
  <c r="G1207" s="1"/>
  <c r="F1208"/>
  <c r="G1208" s="1"/>
  <c r="F1209"/>
  <c r="G1209" s="1"/>
  <c r="F1210"/>
  <c r="G1210" s="1"/>
  <c r="F1211"/>
  <c r="G1211" s="1"/>
  <c r="G12"/>
  <c r="B5" i="13"/>
  <c r="B8" s="1"/>
  <c r="B9" s="1"/>
  <c r="B10" s="1"/>
  <c r="B11" s="1"/>
  <c r="B12" s="1"/>
  <c r="B13" s="1"/>
  <c r="B14" s="1"/>
  <c r="B15" s="1"/>
  <c r="B16" s="1"/>
  <c r="B17" s="1"/>
  <c r="B18" s="1"/>
  <c r="B19" s="1"/>
  <c r="B20" s="1"/>
  <c r="F1185" i="16"/>
  <c r="B221" i="13"/>
  <c r="B222" s="1"/>
  <c r="G3123" i="10"/>
  <c r="G3109"/>
  <c r="F3671"/>
  <c r="G3671" s="1"/>
  <c r="F3701"/>
  <c r="G3701" s="1"/>
  <c r="F3653"/>
  <c r="G3653" s="1"/>
  <c r="F3287"/>
  <c r="G3287" s="1"/>
  <c r="H3287" s="1"/>
  <c r="F2553"/>
  <c r="G2553" s="1"/>
  <c r="F3233"/>
  <c r="G3233" s="1"/>
  <c r="F3151"/>
  <c r="G3151" s="1"/>
  <c r="F2552"/>
  <c r="G2552" s="1"/>
  <c r="F2444"/>
  <c r="F704"/>
  <c r="G704" s="1"/>
  <c r="F672"/>
  <c r="G672" s="1"/>
  <c r="F659"/>
  <c r="G659" s="1"/>
  <c r="F825"/>
  <c r="G825" s="1"/>
  <c r="F764"/>
  <c r="G764" s="1"/>
  <c r="F749"/>
  <c r="G749" s="1"/>
  <c r="F1170"/>
  <c r="G1170" s="1"/>
  <c r="F1094"/>
  <c r="G1094" s="1"/>
  <c r="F1093"/>
  <c r="G1093" s="1"/>
  <c r="F1057"/>
  <c r="G1057" s="1"/>
  <c r="F1036"/>
  <c r="G1036" s="1"/>
  <c r="F1554"/>
  <c r="G1554" s="1"/>
  <c r="F1552"/>
  <c r="G1552" s="1"/>
  <c r="F2189"/>
  <c r="G2189" s="1"/>
  <c r="F2174"/>
  <c r="G2174" s="1"/>
  <c r="F2109"/>
  <c r="G2109" s="1"/>
  <c r="F2849"/>
  <c r="G2849" s="1"/>
  <c r="F3097"/>
  <c r="G3097" s="1"/>
  <c r="E536" i="3"/>
  <c r="E314" i="18" s="1"/>
  <c r="E528" i="3"/>
  <c r="E306" i="18" s="1"/>
  <c r="F3510" i="10"/>
  <c r="G3510" s="1"/>
  <c r="G1448"/>
  <c r="H1449" s="1"/>
  <c r="F3654"/>
  <c r="G3654" s="1"/>
  <c r="F3652"/>
  <c r="G3652" s="1"/>
  <c r="E525" i="3"/>
  <c r="E303" i="18" s="1"/>
  <c r="E561" i="3"/>
  <c r="F2550" i="10"/>
  <c r="G2550" s="1"/>
  <c r="G4151"/>
  <c r="E76" i="18"/>
  <c r="E77"/>
  <c r="E72"/>
  <c r="E73"/>
  <c r="E74"/>
  <c r="E75"/>
  <c r="E446" i="3"/>
  <c r="E224" i="18" s="1"/>
  <c r="E447" i="3"/>
  <c r="E225" i="18" s="1"/>
  <c r="E558" i="3"/>
  <c r="G4690" i="10"/>
  <c r="H4690" s="1"/>
  <c r="H4691" s="1"/>
  <c r="G227" l="1"/>
  <c r="H227" s="1"/>
  <c r="H1969"/>
  <c r="H1986"/>
  <c r="H1924"/>
  <c r="H1931"/>
  <c r="H1663"/>
  <c r="H3024"/>
  <c r="H1516"/>
  <c r="H1058"/>
  <c r="H4560"/>
  <c r="H4561" s="1"/>
  <c r="H4562" s="1"/>
  <c r="H4563" s="1"/>
  <c r="B4563" s="1"/>
  <c r="E358" i="3" s="1"/>
  <c r="H4550" i="10"/>
  <c r="H4551" s="1"/>
  <c r="H4552" s="1"/>
  <c r="H4553" s="1"/>
  <c r="B4553" s="1"/>
  <c r="E357" i="3" s="1"/>
  <c r="G2444" i="10"/>
  <c r="D2449"/>
  <c r="E2449" s="1"/>
  <c r="F2443" s="1"/>
  <c r="G2443" s="1"/>
  <c r="G2460"/>
  <c r="D2465"/>
  <c r="E2465" s="1"/>
  <c r="F2459" s="1"/>
  <c r="G2459" s="1"/>
  <c r="H976"/>
  <c r="E549" i="3"/>
  <c r="E375"/>
  <c r="E552"/>
  <c r="E378"/>
  <c r="E438"/>
  <c r="E219" i="18" s="1"/>
  <c r="E323" i="3"/>
  <c r="E454"/>
  <c r="E232" i="18" s="1"/>
  <c r="E452" i="3"/>
  <c r="E230" i="18" s="1"/>
  <c r="E450" i="3"/>
  <c r="E228" i="18" s="1"/>
  <c r="E551" i="3"/>
  <c r="E377"/>
  <c r="E548"/>
  <c r="E374"/>
  <c r="E550"/>
  <c r="E376"/>
  <c r="E555"/>
  <c r="E381"/>
  <c r="E553"/>
  <c r="E379"/>
  <c r="E439"/>
  <c r="E220" i="18" s="1"/>
  <c r="E325" i="3"/>
  <c r="E437"/>
  <c r="E218" i="18" s="1"/>
  <c r="E324" i="3"/>
  <c r="E435"/>
  <c r="E216" i="18" s="1"/>
  <c r="E319" i="3"/>
  <c r="E453"/>
  <c r="E231" i="18" s="1"/>
  <c r="E451" i="3"/>
  <c r="E229" i="18" s="1"/>
  <c r="E493" i="3"/>
  <c r="E271" i="18" s="1"/>
  <c r="E322" i="3"/>
  <c r="E554"/>
  <c r="E380"/>
  <c r="E547"/>
  <c r="E373"/>
  <c r="E532"/>
  <c r="E310" i="18" s="1"/>
  <c r="E265" i="3"/>
  <c r="E429"/>
  <c r="E212" i="18" s="1"/>
  <c r="E296" i="3"/>
  <c r="E427"/>
  <c r="E210" i="18" s="1"/>
  <c r="E294" i="3"/>
  <c r="E434"/>
  <c r="E215" i="18" s="1"/>
  <c r="E317" i="3"/>
  <c r="E436"/>
  <c r="E217" i="18" s="1"/>
  <c r="E318" i="3"/>
  <c r="E492"/>
  <c r="E270" i="18" s="1"/>
  <c r="E281" i="3"/>
  <c r="E530"/>
  <c r="E308" i="18" s="1"/>
  <c r="E263" i="3"/>
  <c r="E430"/>
  <c r="E213" i="18" s="1"/>
  <c r="E297" i="3"/>
  <c r="E428"/>
  <c r="E211" i="18" s="1"/>
  <c r="E295" i="3"/>
  <c r="E425"/>
  <c r="E208" i="18" s="1"/>
  <c r="E298" i="3"/>
  <c r="E482"/>
  <c r="E260" i="18" s="1"/>
  <c r="E217" i="3"/>
  <c r="E539"/>
  <c r="E317" i="18" s="1"/>
  <c r="E270" i="3"/>
  <c r="E533"/>
  <c r="E311" i="18" s="1"/>
  <c r="E266" i="3"/>
  <c r="E531"/>
  <c r="E309" i="18" s="1"/>
  <c r="E264" i="3"/>
  <c r="E529"/>
  <c r="E307" i="18" s="1"/>
  <c r="E262" i="3"/>
  <c r="E18"/>
  <c r="E13" i="18" s="1"/>
  <c r="F303" i="19"/>
  <c r="G303" s="1"/>
  <c r="H303" s="1"/>
  <c r="H304" s="1"/>
  <c r="H305" s="1"/>
  <c r="H306" s="1"/>
  <c r="B306" s="1"/>
  <c r="D306" s="1"/>
  <c r="E522" i="3" s="1"/>
  <c r="E300" i="18" s="1"/>
  <c r="F3002" i="10"/>
  <c r="G3002" s="1"/>
  <c r="H3002" s="1"/>
  <c r="F4539"/>
  <c r="G4539" s="1"/>
  <c r="H4539" s="1"/>
  <c r="H4540" s="1"/>
  <c r="H4541" s="1"/>
  <c r="H4542" s="1"/>
  <c r="B4542" s="1"/>
  <c r="E353" i="3" s="1"/>
  <c r="F419" i="19"/>
  <c r="G419" s="1"/>
  <c r="H419" s="1"/>
  <c r="H420" s="1"/>
  <c r="H421" s="1"/>
  <c r="H422" s="1"/>
  <c r="B422" s="1"/>
  <c r="D422" s="1"/>
  <c r="E538" i="3" s="1"/>
  <c r="E316" i="18" s="1"/>
  <c r="F2296" i="10"/>
  <c r="G2296" s="1"/>
  <c r="H2298" s="1"/>
  <c r="F2672"/>
  <c r="G2672" s="1"/>
  <c r="F356" i="19"/>
  <c r="G356" s="1"/>
  <c r="H356" s="1"/>
  <c r="H357" s="1"/>
  <c r="H358" s="1"/>
  <c r="H359" s="1"/>
  <c r="B359" s="1"/>
  <c r="D359" s="1"/>
  <c r="E527" i="3" s="1"/>
  <c r="E305" i="18" s="1"/>
  <c r="F4528" i="10"/>
  <c r="G4528" s="1"/>
  <c r="H4528" s="1"/>
  <c r="H4529" s="1"/>
  <c r="H4530" s="1"/>
  <c r="H4531" s="1"/>
  <c r="B4531" s="1"/>
  <c r="E352" i="3" s="1"/>
  <c r="F130" i="19"/>
  <c r="G130" s="1"/>
  <c r="H131" s="1"/>
  <c r="H132" s="1"/>
  <c r="H133" s="1"/>
  <c r="H134" s="1"/>
  <c r="B134" s="1"/>
  <c r="E485" i="3" s="1"/>
  <c r="E263" i="18" s="1"/>
  <c r="F4505" i="10"/>
  <c r="G4505" s="1"/>
  <c r="H4505" s="1"/>
  <c r="H4506" s="1"/>
  <c r="H4507" s="1"/>
  <c r="H4508" s="1"/>
  <c r="B4508" s="1"/>
  <c r="E350" i="3" s="1"/>
  <c r="F104" i="19"/>
  <c r="G104" s="1"/>
  <c r="H105" s="1"/>
  <c r="H106" s="1"/>
  <c r="H107" s="1"/>
  <c r="H108" s="1"/>
  <c r="B108" s="1"/>
  <c r="E483" i="3" s="1"/>
  <c r="E261" i="18" s="1"/>
  <c r="F2673" i="10"/>
  <c r="G2673" s="1"/>
  <c r="F316" i="19"/>
  <c r="G316" s="1"/>
  <c r="F2632" i="10"/>
  <c r="G2632" s="1"/>
  <c r="F288" i="19"/>
  <c r="G288" s="1"/>
  <c r="F4436" i="10"/>
  <c r="G4436" s="1"/>
  <c r="F345" i="19"/>
  <c r="G345" s="1"/>
  <c r="F4349" i="10"/>
  <c r="G4349" s="1"/>
  <c r="H4349" s="1"/>
  <c r="F327" i="19"/>
  <c r="G327" s="1"/>
  <c r="F969" i="10"/>
  <c r="G969" s="1"/>
  <c r="H974" s="1"/>
  <c r="F284" i="19"/>
  <c r="G284" s="1"/>
  <c r="G713" i="10"/>
  <c r="F342" i="19"/>
  <c r="G342" s="1"/>
  <c r="F325"/>
  <c r="G325" s="1"/>
  <c r="F313"/>
  <c r="G313" s="1"/>
  <c r="F282"/>
  <c r="G282" s="1"/>
  <c r="F267"/>
  <c r="G267" s="1"/>
  <c r="F4517" i="10"/>
  <c r="G4517" s="1"/>
  <c r="H4517" s="1"/>
  <c r="H4518" s="1"/>
  <c r="H4519" s="1"/>
  <c r="H4520" s="1"/>
  <c r="B4520" s="1"/>
  <c r="E351" i="3" s="1"/>
  <c r="F143" i="19"/>
  <c r="G143" s="1"/>
  <c r="H144" s="1"/>
  <c r="H145" s="1"/>
  <c r="H146" s="1"/>
  <c r="H147" s="1"/>
  <c r="B147" s="1"/>
  <c r="E486" i="3" s="1"/>
  <c r="E264" i="18" s="1"/>
  <c r="F4492" i="10"/>
  <c r="G4492" s="1"/>
  <c r="H4492" s="1"/>
  <c r="H4493" s="1"/>
  <c r="H4494" s="1"/>
  <c r="H4495" s="1"/>
  <c r="B4495" s="1"/>
  <c r="E349" i="3" s="1"/>
  <c r="F117" i="19"/>
  <c r="G117" s="1"/>
  <c r="H118" s="1"/>
  <c r="H119" s="1"/>
  <c r="H120" s="1"/>
  <c r="H121" s="1"/>
  <c r="B121" s="1"/>
  <c r="E484" i="3" s="1"/>
  <c r="E262" i="18" s="1"/>
  <c r="H211" i="19"/>
  <c r="H212" s="1"/>
  <c r="B212" s="1"/>
  <c r="D212" s="1"/>
  <c r="E495" i="3" s="1"/>
  <c r="E273" i="18" s="1"/>
  <c r="F3220" i="10"/>
  <c r="G3220" s="1"/>
  <c r="H3221" s="1"/>
  <c r="F270" i="19"/>
  <c r="G270" s="1"/>
  <c r="F2633" i="10"/>
  <c r="G2633" s="1"/>
  <c r="F289" i="19"/>
  <c r="G289" s="1"/>
  <c r="F2631" i="10"/>
  <c r="G2631" s="1"/>
  <c r="F287" i="19"/>
  <c r="G287" s="1"/>
  <c r="F1885" i="10"/>
  <c r="G1885" s="1"/>
  <c r="F346" i="19"/>
  <c r="G346" s="1"/>
  <c r="F1904" i="10"/>
  <c r="G1904" s="1"/>
  <c r="H1909" s="1"/>
  <c r="F1861"/>
  <c r="G1861" s="1"/>
  <c r="H1867" s="1"/>
  <c r="F827"/>
  <c r="G827" s="1"/>
  <c r="F285" i="19"/>
  <c r="G285" s="1"/>
  <c r="F283"/>
  <c r="G283" s="1"/>
  <c r="F268"/>
  <c r="G268" s="1"/>
  <c r="F1692" i="10"/>
  <c r="G1692" s="1"/>
  <c r="G714"/>
  <c r="F343" i="19"/>
  <c r="G343" s="1"/>
  <c r="F326"/>
  <c r="G326" s="1"/>
  <c r="F314"/>
  <c r="G314" s="1"/>
  <c r="F291"/>
  <c r="G291" s="1"/>
  <c r="H291" s="1"/>
  <c r="H316"/>
  <c r="H271"/>
  <c r="H347"/>
  <c r="F4394" i="10"/>
  <c r="G4394" s="1"/>
  <c r="F4377"/>
  <c r="G4377" s="1"/>
  <c r="H4378" s="1"/>
  <c r="F1693"/>
  <c r="G1693" s="1"/>
  <c r="H1700" s="1"/>
  <c r="F4475"/>
  <c r="F4435"/>
  <c r="G4435" s="1"/>
  <c r="F4406"/>
  <c r="G4406" s="1"/>
  <c r="H4409" s="1"/>
  <c r="F4457"/>
  <c r="F4421"/>
  <c r="G4421" s="1"/>
  <c r="H4423" s="1"/>
  <c r="F4348"/>
  <c r="G4348" s="1"/>
  <c r="F4317"/>
  <c r="G4317" s="1"/>
  <c r="F4291"/>
  <c r="G4291" s="1"/>
  <c r="F4272"/>
  <c r="G4272" s="1"/>
  <c r="F4434"/>
  <c r="G4434" s="1"/>
  <c r="F4420"/>
  <c r="G4420" s="1"/>
  <c r="F4405"/>
  <c r="G4405" s="1"/>
  <c r="F4389"/>
  <c r="G4389" s="1"/>
  <c r="F4375"/>
  <c r="G4375" s="1"/>
  <c r="F4333"/>
  <c r="G4333" s="1"/>
  <c r="H4394"/>
  <c r="F10" i="19"/>
  <c r="G10" s="1"/>
  <c r="G4318" i="10"/>
  <c r="H4320" s="1"/>
  <c r="F4433"/>
  <c r="G4433" s="1"/>
  <c r="F4419"/>
  <c r="G4419" s="1"/>
  <c r="F4404"/>
  <c r="G4404" s="1"/>
  <c r="F4388"/>
  <c r="G4388" s="1"/>
  <c r="F4374"/>
  <c r="G4374" s="1"/>
  <c r="F4332"/>
  <c r="G4332" s="1"/>
  <c r="F4347"/>
  <c r="G4347" s="1"/>
  <c r="F4316"/>
  <c r="G4316" s="1"/>
  <c r="F4290"/>
  <c r="G4290" s="1"/>
  <c r="F4271"/>
  <c r="G4271" s="1"/>
  <c r="H1890"/>
  <c r="H4456"/>
  <c r="H1713"/>
  <c r="H3939"/>
  <c r="H1941"/>
  <c r="G4276"/>
  <c r="H2850"/>
  <c r="H2175"/>
  <c r="F1619"/>
  <c r="G1619" s="1"/>
  <c r="G1372"/>
  <c r="F113"/>
  <c r="G113" s="1"/>
  <c r="H114" s="1"/>
  <c r="F105" i="13"/>
  <c r="F1461" i="10"/>
  <c r="G1461" s="1"/>
  <c r="H1463" s="1"/>
  <c r="F11" i="19"/>
  <c r="G11" s="1"/>
  <c r="H12" s="1"/>
  <c r="F3381" i="10"/>
  <c r="G3381" s="1"/>
  <c r="H3381" s="1"/>
  <c r="F3367"/>
  <c r="G3367" s="1"/>
  <c r="H3367" s="1"/>
  <c r="F1691"/>
  <c r="G1691" s="1"/>
  <c r="F7" i="19"/>
  <c r="G7" s="1"/>
  <c r="F4165" i="10"/>
  <c r="G4165" s="1"/>
  <c r="F4148"/>
  <c r="G4148" s="1"/>
  <c r="F4100"/>
  <c r="G4100" s="1"/>
  <c r="F4059"/>
  <c r="G4059" s="1"/>
  <c r="F4047"/>
  <c r="G4047" s="1"/>
  <c r="F4035"/>
  <c r="G4035" s="1"/>
  <c r="F4022"/>
  <c r="G4022" s="1"/>
  <c r="F4009"/>
  <c r="G4009" s="1"/>
  <c r="F3997"/>
  <c r="G3997" s="1"/>
  <c r="F88"/>
  <c r="G88" s="1"/>
  <c r="F8" i="19"/>
  <c r="G8" s="1"/>
  <c r="F4166" i="10"/>
  <c r="G4166" s="1"/>
  <c r="F4149"/>
  <c r="G4149" s="1"/>
  <c r="F4101"/>
  <c r="G4101" s="1"/>
  <c r="F4090"/>
  <c r="G4090" s="1"/>
  <c r="H4090" s="1"/>
  <c r="H4091" s="1"/>
  <c r="H4092" s="1"/>
  <c r="H4093" s="1"/>
  <c r="B4093" s="1"/>
  <c r="E312" i="3" s="1"/>
  <c r="F4081" i="10"/>
  <c r="G4081" s="1"/>
  <c r="H4081" s="1"/>
  <c r="H4082" s="1"/>
  <c r="H4083" s="1"/>
  <c r="H4084" s="1"/>
  <c r="B4084" s="1"/>
  <c r="E311" i="3" s="1"/>
  <c r="F4071" i="10"/>
  <c r="G4071" s="1"/>
  <c r="H4071" s="1"/>
  <c r="H4072" s="1"/>
  <c r="H4073" s="1"/>
  <c r="H4074" s="1"/>
  <c r="B4074" s="1"/>
  <c r="E310" i="3" s="1"/>
  <c r="F4060" i="10"/>
  <c r="G4060" s="1"/>
  <c r="F4048"/>
  <c r="G4048" s="1"/>
  <c r="F4036"/>
  <c r="G4036" s="1"/>
  <c r="F4023"/>
  <c r="G4023" s="1"/>
  <c r="F4010"/>
  <c r="G4010" s="1"/>
  <c r="F3998"/>
  <c r="G3998" s="1"/>
  <c r="F3953"/>
  <c r="F2294"/>
  <c r="G2294" s="1"/>
  <c r="F2295"/>
  <c r="G2295" s="1"/>
  <c r="F2548"/>
  <c r="G2548" s="1"/>
  <c r="F2547"/>
  <c r="G2547" s="1"/>
  <c r="F2546"/>
  <c r="G2546" s="1"/>
  <c r="F2566"/>
  <c r="G2566" s="1"/>
  <c r="F2567"/>
  <c r="G2567" s="1"/>
  <c r="F2570"/>
  <c r="G2570" s="1"/>
  <c r="F2569"/>
  <c r="G2569" s="1"/>
  <c r="F2580"/>
  <c r="G2580" s="1"/>
  <c r="F2581"/>
  <c r="G2581" s="1"/>
  <c r="F2585"/>
  <c r="G2585" s="1"/>
  <c r="F2583"/>
  <c r="G2583" s="1"/>
  <c r="F2594"/>
  <c r="G2594" s="1"/>
  <c r="H2594" s="1"/>
  <c r="F2626"/>
  <c r="G2626" s="1"/>
  <c r="F2627"/>
  <c r="G2627" s="1"/>
  <c r="F2628"/>
  <c r="G2628" s="1"/>
  <c r="F2629"/>
  <c r="G2629" s="1"/>
  <c r="F2646"/>
  <c r="G2646" s="1"/>
  <c r="F2647"/>
  <c r="G2647" s="1"/>
  <c r="F2659"/>
  <c r="G2659" s="1"/>
  <c r="F2670"/>
  <c r="G2670" s="1"/>
  <c r="F2671"/>
  <c r="G2671" s="1"/>
  <c r="F2686"/>
  <c r="G2686" s="1"/>
  <c r="F2687"/>
  <c r="G2687" s="1"/>
  <c r="F2688"/>
  <c r="G2688" s="1"/>
  <c r="F2689"/>
  <c r="G2689" s="1"/>
  <c r="F2978"/>
  <c r="G2978" s="1"/>
  <c r="F2979"/>
  <c r="G2979" s="1"/>
  <c r="F2980"/>
  <c r="G2980" s="1"/>
  <c r="F2981"/>
  <c r="G2981" s="1"/>
  <c r="F3000"/>
  <c r="G3000" s="1"/>
  <c r="F3001"/>
  <c r="G3001" s="1"/>
  <c r="H746"/>
  <c r="H2966"/>
  <c r="H2969" s="1"/>
  <c r="H1979"/>
  <c r="H2803"/>
  <c r="H2158"/>
  <c r="H2836"/>
  <c r="H4152"/>
  <c r="H3235"/>
  <c r="H2504"/>
  <c r="H1857"/>
  <c r="H1962"/>
  <c r="H3081"/>
  <c r="H3755"/>
  <c r="H4307"/>
  <c r="H4308" s="1"/>
  <c r="H1815"/>
  <c r="H1637"/>
  <c r="H1539"/>
  <c r="H2892"/>
  <c r="H3715"/>
  <c r="H3716" s="1"/>
  <c r="H3717" s="1"/>
  <c r="H3718" s="1"/>
  <c r="B3718" s="1"/>
  <c r="D3718" s="1"/>
  <c r="H1447"/>
  <c r="H1450" s="1"/>
  <c r="H1948"/>
  <c r="H3511"/>
  <c r="H3097"/>
  <c r="F1617"/>
  <c r="G1617" s="1"/>
  <c r="G2761"/>
  <c r="H2761" s="1"/>
  <c r="H3702"/>
  <c r="H3053"/>
  <c r="H2935"/>
  <c r="H2879"/>
  <c r="H3684"/>
  <c r="H2607"/>
  <c r="H2833"/>
  <c r="H3464"/>
  <c r="H3467" s="1"/>
  <c r="H3468" s="1"/>
  <c r="H3469" s="1"/>
  <c r="B3469" s="1"/>
  <c r="D3469" s="1"/>
  <c r="H2340"/>
  <c r="H3651"/>
  <c r="H1092"/>
  <c r="H1738"/>
  <c r="H1681"/>
  <c r="H1579"/>
  <c r="H2031"/>
  <c r="H3776"/>
  <c r="H3759"/>
  <c r="H4295"/>
  <c r="H4296" s="1"/>
  <c r="F2774"/>
  <c r="G2774" s="1"/>
  <c r="F1618"/>
  <c r="G1618" s="1"/>
  <c r="H3671"/>
  <c r="F3339"/>
  <c r="F3365"/>
  <c r="G3365" s="1"/>
  <c r="F3340"/>
  <c r="F3352" s="1"/>
  <c r="G3352" s="1"/>
  <c r="F3366"/>
  <c r="G3366" s="1"/>
  <c r="F3353"/>
  <c r="G3353" s="1"/>
  <c r="H3353" s="1"/>
  <c r="E397" i="3"/>
  <c r="E184" i="18" s="1"/>
  <c r="H1002" i="10"/>
  <c r="H1142"/>
  <c r="H1056"/>
  <c r="H1753"/>
  <c r="H1171"/>
  <c r="H38"/>
  <c r="H2596"/>
  <c r="H2555"/>
  <c r="H1795"/>
  <c r="G1310"/>
  <c r="H1311" s="1"/>
  <c r="F1326"/>
  <c r="G1326" s="1"/>
  <c r="H1327" s="1"/>
  <c r="G988"/>
  <c r="H989" s="1"/>
  <c r="F109"/>
  <c r="G109" s="1"/>
  <c r="F110"/>
  <c r="G110" s="1"/>
  <c r="F127"/>
  <c r="G127" s="1"/>
  <c r="F128"/>
  <c r="G128" s="1"/>
  <c r="F176"/>
  <c r="G176" s="1"/>
  <c r="H176" s="1"/>
  <c r="H177" s="1"/>
  <c r="H178" s="1"/>
  <c r="F192"/>
  <c r="G192" s="1"/>
  <c r="F193"/>
  <c r="G193" s="1"/>
  <c r="F204"/>
  <c r="G204" s="1"/>
  <c r="H204" s="1"/>
  <c r="H205" s="1"/>
  <c r="H206" s="1"/>
  <c r="H207" s="1"/>
  <c r="B207" s="1"/>
  <c r="F214"/>
  <c r="G214" s="1"/>
  <c r="H214" s="1"/>
  <c r="F216"/>
  <c r="G216" s="1"/>
  <c r="F226"/>
  <c r="G226" s="1"/>
  <c r="H226" s="1"/>
  <c r="F259"/>
  <c r="G259" s="1"/>
  <c r="H259" s="1"/>
  <c r="H261" s="1"/>
  <c r="H262" s="1"/>
  <c r="H263" s="1"/>
  <c r="B263" s="1"/>
  <c r="E27" i="3" s="1"/>
  <c r="F293" i="10"/>
  <c r="G293" s="1"/>
  <c r="F292"/>
  <c r="G292" s="1"/>
  <c r="F297"/>
  <c r="G297" s="1"/>
  <c r="F298"/>
  <c r="G298" s="1"/>
  <c r="F325"/>
  <c r="G325" s="1"/>
  <c r="F343"/>
  <c r="G343" s="1"/>
  <c r="F368"/>
  <c r="G368" s="1"/>
  <c r="H368" s="1"/>
  <c r="F385"/>
  <c r="G385" s="1"/>
  <c r="F410"/>
  <c r="G410" s="1"/>
  <c r="F427"/>
  <c r="G427" s="1"/>
  <c r="F450"/>
  <c r="G450" s="1"/>
  <c r="F467"/>
  <c r="G467" s="1"/>
  <c r="F491"/>
  <c r="G491" s="1"/>
  <c r="F508"/>
  <c r="G508" s="1"/>
  <c r="F533"/>
  <c r="G533" s="1"/>
  <c r="F549"/>
  <c r="G549" s="1"/>
  <c r="H549" s="1"/>
  <c r="F572"/>
  <c r="G572" s="1"/>
  <c r="F568"/>
  <c r="G568" s="1"/>
  <c r="F612"/>
  <c r="G612" s="1"/>
  <c r="F611"/>
  <c r="G611" s="1"/>
  <c r="F610"/>
  <c r="G610" s="1"/>
  <c r="F609"/>
  <c r="G609" s="1"/>
  <c r="F608"/>
  <c r="G608" s="1"/>
  <c r="F564"/>
  <c r="G564" s="1"/>
  <c r="F565"/>
  <c r="G565" s="1"/>
  <c r="F566"/>
  <c r="G566" s="1"/>
  <c r="H573" s="1"/>
  <c r="F583"/>
  <c r="G583" s="1"/>
  <c r="F584"/>
  <c r="G584" s="1"/>
  <c r="F585"/>
  <c r="G585" s="1"/>
  <c r="H590" s="1"/>
  <c r="F587"/>
  <c r="G587" s="1"/>
  <c r="F589"/>
  <c r="G589" s="1"/>
  <c r="F613"/>
  <c r="G613" s="1"/>
  <c r="F614"/>
  <c r="G614" s="1"/>
  <c r="F630"/>
  <c r="G630" s="1"/>
  <c r="F631"/>
  <c r="G631" s="1"/>
  <c r="F647"/>
  <c r="G647" s="1"/>
  <c r="H647" s="1"/>
  <c r="F675"/>
  <c r="G675" s="1"/>
  <c r="F674"/>
  <c r="G674" s="1"/>
  <c r="F691"/>
  <c r="G691" s="1"/>
  <c r="G715"/>
  <c r="G716"/>
  <c r="G718"/>
  <c r="F735"/>
  <c r="G735" s="1"/>
  <c r="F751"/>
  <c r="G751" s="1"/>
  <c r="F767"/>
  <c r="G767" s="1"/>
  <c r="F766"/>
  <c r="G766" s="1"/>
  <c r="F750"/>
  <c r="G750" s="1"/>
  <c r="F734"/>
  <c r="G734" s="1"/>
  <c r="G717"/>
  <c r="F690"/>
  <c r="G690" s="1"/>
  <c r="F588"/>
  <c r="G588" s="1"/>
  <c r="F569"/>
  <c r="G569" s="1"/>
  <c r="F532"/>
  <c r="G532" s="1"/>
  <c r="H533" s="1"/>
  <c r="F507"/>
  <c r="G507" s="1"/>
  <c r="H508" s="1"/>
  <c r="F490"/>
  <c r="G490" s="1"/>
  <c r="H491" s="1"/>
  <c r="F466"/>
  <c r="G466" s="1"/>
  <c r="H467" s="1"/>
  <c r="F449"/>
  <c r="G449" s="1"/>
  <c r="H450" s="1"/>
  <c r="F426"/>
  <c r="G426" s="1"/>
  <c r="H427" s="1"/>
  <c r="F409"/>
  <c r="G409" s="1"/>
  <c r="H410" s="1"/>
  <c r="F384"/>
  <c r="G384" s="1"/>
  <c r="H385" s="1"/>
  <c r="F342"/>
  <c r="G342" s="1"/>
  <c r="F324"/>
  <c r="G324" s="1"/>
  <c r="F215"/>
  <c r="G215" s="1"/>
  <c r="F788"/>
  <c r="G788" s="1"/>
  <c r="F789"/>
  <c r="G789" s="1"/>
  <c r="F804"/>
  <c r="G804" s="1"/>
  <c r="H805" s="1"/>
  <c r="F838"/>
  <c r="G838" s="1"/>
  <c r="F839"/>
  <c r="G839" s="1"/>
  <c r="F840"/>
  <c r="G840" s="1"/>
  <c r="F841"/>
  <c r="G841" s="1"/>
  <c r="F842"/>
  <c r="G842" s="1"/>
  <c r="F864"/>
  <c r="G864" s="1"/>
  <c r="F865"/>
  <c r="G865" s="1"/>
  <c r="F866"/>
  <c r="G866" s="1"/>
  <c r="F867"/>
  <c r="G867" s="1"/>
  <c r="F868"/>
  <c r="G868" s="1"/>
  <c r="F870"/>
  <c r="G870" s="1"/>
  <c r="F884"/>
  <c r="G884" s="1"/>
  <c r="F885"/>
  <c r="G885" s="1"/>
  <c r="F886"/>
  <c r="G886" s="1"/>
  <c r="F887"/>
  <c r="G887" s="1"/>
  <c r="F888"/>
  <c r="G888" s="1"/>
  <c r="F890"/>
  <c r="G890" s="1"/>
  <c r="F909"/>
  <c r="G909" s="1"/>
  <c r="F910"/>
  <c r="G910" s="1"/>
  <c r="F911"/>
  <c r="G911" s="1"/>
  <c r="F912"/>
  <c r="G912" s="1"/>
  <c r="F913"/>
  <c r="G913" s="1"/>
  <c r="F914"/>
  <c r="G914" s="1"/>
  <c r="F889"/>
  <c r="G889" s="1"/>
  <c r="F869"/>
  <c r="G869" s="1"/>
  <c r="F843"/>
  <c r="G843" s="1"/>
  <c r="F915"/>
  <c r="G915" s="1"/>
  <c r="F929"/>
  <c r="G929" s="1"/>
  <c r="F930"/>
  <c r="G930" s="1"/>
  <c r="F931"/>
  <c r="G931" s="1"/>
  <c r="F933"/>
  <c r="G933" s="1"/>
  <c r="F936"/>
  <c r="G936" s="1"/>
  <c r="F955"/>
  <c r="G955" s="1"/>
  <c r="F956"/>
  <c r="G956" s="1"/>
  <c r="F967"/>
  <c r="G967" s="1"/>
  <c r="F968"/>
  <c r="G968" s="1"/>
  <c r="F1200"/>
  <c r="G1200" s="1"/>
  <c r="F1201"/>
  <c r="G1201" s="1"/>
  <c r="F1196"/>
  <c r="G1196" s="1"/>
  <c r="F1197"/>
  <c r="G1197" s="1"/>
  <c r="F1199"/>
  <c r="G1199" s="1"/>
  <c r="F1229"/>
  <c r="G1229" s="1"/>
  <c r="F1228"/>
  <c r="G1228" s="1"/>
  <c r="F1246"/>
  <c r="G1246" s="1"/>
  <c r="F1247"/>
  <c r="G1247" s="1"/>
  <c r="F1262"/>
  <c r="G1262" s="1"/>
  <c r="F1263"/>
  <c r="G1263" s="1"/>
  <c r="F1265"/>
  <c r="G1265" s="1"/>
  <c r="F1266"/>
  <c r="G1266" s="1"/>
  <c r="F1267"/>
  <c r="G1267" s="1"/>
  <c r="G1353"/>
  <c r="F1354"/>
  <c r="G1354" s="1"/>
  <c r="F1355"/>
  <c r="G1355" s="1"/>
  <c r="F1352"/>
  <c r="G1352" s="1"/>
  <c r="F1369"/>
  <c r="G1369" s="1"/>
  <c r="F1370"/>
  <c r="G1370" s="1"/>
  <c r="F1373"/>
  <c r="G1373" s="1"/>
  <c r="F1374"/>
  <c r="G1374" s="1"/>
  <c r="F1458"/>
  <c r="G1458" s="1"/>
  <c r="F1459"/>
  <c r="G1459" s="1"/>
  <c r="F1502"/>
  <c r="G1502" s="1"/>
  <c r="F1501"/>
  <c r="G1501" s="1"/>
  <c r="F1797"/>
  <c r="G1797" s="1"/>
  <c r="H1799" s="1"/>
  <c r="H1800" s="1"/>
  <c r="H1475"/>
  <c r="H1505"/>
  <c r="H1430"/>
  <c r="H3554"/>
  <c r="H823"/>
  <c r="H1674"/>
  <c r="H730"/>
  <c r="H1145"/>
  <c r="H1080"/>
  <c r="H1723"/>
  <c r="H339"/>
  <c r="H1656"/>
  <c r="H2817"/>
  <c r="H2790"/>
  <c r="H1125"/>
  <c r="H1281"/>
  <c r="H2355"/>
  <c r="H2266"/>
  <c r="H2614"/>
  <c r="H2134"/>
  <c r="H3552"/>
  <c r="H3181"/>
  <c r="H3095"/>
  <c r="H3067"/>
  <c r="H3041"/>
  <c r="H2951"/>
  <c r="H2924"/>
  <c r="H2909"/>
  <c r="F2775"/>
  <c r="G2775" s="1"/>
  <c r="H2191"/>
  <c r="H1038"/>
  <c r="H660"/>
  <c r="H705"/>
  <c r="H706" s="1"/>
  <c r="H707" s="1"/>
  <c r="H708" s="1"/>
  <c r="B708" s="1"/>
  <c r="H3152"/>
  <c r="G3325"/>
  <c r="H894"/>
  <c r="H1325"/>
  <c r="F1613"/>
  <c r="G1613" s="1"/>
  <c r="F1614"/>
  <c r="G1614" s="1"/>
  <c r="H3026"/>
  <c r="H2865"/>
  <c r="H848"/>
  <c r="H940"/>
  <c r="H919"/>
  <c r="H874"/>
  <c r="H3477"/>
  <c r="H828"/>
  <c r="H3481"/>
  <c r="H3482" s="1"/>
  <c r="H3483" s="1"/>
  <c r="B3483" s="1"/>
  <c r="D3483" s="1"/>
  <c r="H3495"/>
  <c r="H3522"/>
  <c r="H3525" s="1"/>
  <c r="H3526" s="1"/>
  <c r="H3527" s="1"/>
  <c r="B3527" s="1"/>
  <c r="D3527" s="1"/>
  <c r="H1434"/>
  <c r="H2488"/>
  <c r="F4819"/>
  <c r="F4820" s="1"/>
  <c r="F4821" s="1"/>
  <c r="H3055"/>
  <c r="H3056" s="1"/>
  <c r="H3057" s="1"/>
  <c r="H3058" s="1"/>
  <c r="B3058" s="1"/>
  <c r="D3058" s="1"/>
  <c r="E225" i="3" s="1"/>
  <c r="E156" i="18" s="1"/>
  <c r="H283" i="10"/>
  <c r="H284" s="1"/>
  <c r="H285" s="1"/>
  <c r="B285" s="1"/>
  <c r="E29" i="3" s="1"/>
  <c r="H3065" i="10"/>
  <c r="H272"/>
  <c r="H273" s="1"/>
  <c r="H274" s="1"/>
  <c r="B274" s="1"/>
  <c r="E28" i="3" s="1"/>
  <c r="H3039" i="10"/>
  <c r="H90"/>
  <c r="H3166"/>
  <c r="H2949"/>
  <c r="H3425"/>
  <c r="F3981"/>
  <c r="G3981" s="1"/>
  <c r="H3984" s="1"/>
  <c r="A172"/>
  <c r="A187" s="1"/>
  <c r="A200" s="1"/>
  <c r="H3639"/>
  <c r="H1096"/>
  <c r="H2937"/>
  <c r="H2922"/>
  <c r="H3079"/>
  <c r="H3955"/>
  <c r="H2387"/>
  <c r="H2388" s="1"/>
  <c r="H2389" s="1"/>
  <c r="B2389" s="1"/>
  <c r="D2389" s="1"/>
  <c r="E172" i="3" s="1"/>
  <c r="E135" i="18" s="1"/>
  <c r="H3107" i="10"/>
  <c r="H3110" s="1"/>
  <c r="H3111" s="1"/>
  <c r="H3112" s="1"/>
  <c r="B3112" s="1"/>
  <c r="D3112" s="1"/>
  <c r="E229" i="3" s="1"/>
  <c r="E160" i="18" s="1"/>
  <c r="H3327" i="10"/>
  <c r="H2907"/>
  <c r="H2894"/>
  <c r="E399" i="3"/>
  <c r="E186" i="18" s="1"/>
  <c r="E395" i="3"/>
  <c r="E182" i="18" s="1"/>
  <c r="H3698" i="10"/>
  <c r="H4243"/>
  <c r="H658"/>
  <c r="H761"/>
  <c r="H1297"/>
  <c r="F1612"/>
  <c r="G1612" s="1"/>
  <c r="E475" i="3"/>
  <c r="E253" i="18" s="1"/>
  <c r="E476" i="3"/>
  <c r="E254" i="18" s="1"/>
  <c r="H2371" i="10"/>
  <c r="H2106"/>
  <c r="H2079"/>
  <c r="H1597"/>
  <c r="H2089"/>
  <c r="H2065"/>
  <c r="H2114"/>
  <c r="H1631"/>
  <c r="H1573"/>
  <c r="H2430"/>
  <c r="H2473"/>
  <c r="H2476" s="1"/>
  <c r="H2477" s="1"/>
  <c r="H2478" s="1"/>
  <c r="B2478" s="1"/>
  <c r="D2478" s="1"/>
  <c r="H2338"/>
  <c r="H2151"/>
  <c r="H2704"/>
  <c r="H1555"/>
  <c r="H364"/>
  <c r="H2847"/>
  <c r="H3273"/>
  <c r="H3275" s="1"/>
  <c r="H3276" s="1"/>
  <c r="H3277" s="1"/>
  <c r="B3277" s="1"/>
  <c r="D3277" s="1"/>
  <c r="E241" i="3" s="1"/>
  <c r="E173" i="18" s="1"/>
  <c r="H2532" i="10"/>
  <c r="H2501"/>
  <c r="H2279"/>
  <c r="H2246"/>
  <c r="H237"/>
  <c r="H238" s="1"/>
  <c r="H239" s="1"/>
  <c r="B238" s="1"/>
  <c r="D238" s="1"/>
  <c r="H236"/>
  <c r="H2455"/>
  <c r="H3743"/>
  <c r="H64"/>
  <c r="H63"/>
  <c r="H321"/>
  <c r="H2251"/>
  <c r="H2439"/>
  <c r="H2218"/>
  <c r="H2028"/>
  <c r="H2308"/>
  <c r="H2186"/>
  <c r="H2747"/>
  <c r="H2749"/>
  <c r="H2731"/>
  <c r="H2733"/>
  <c r="H2716"/>
  <c r="H2718"/>
  <c r="H3012"/>
  <c r="H3262"/>
  <c r="H3264" s="1"/>
  <c r="H3137"/>
  <c r="H3121"/>
  <c r="H3124" s="1"/>
  <c r="H3125" s="1"/>
  <c r="H3126" s="1"/>
  <c r="B3126" s="1"/>
  <c r="D3126" s="1"/>
  <c r="E230" i="3" s="1"/>
  <c r="E161" i="18" s="1"/>
  <c r="H3536" i="10"/>
  <c r="H3539" s="1"/>
  <c r="H1881"/>
  <c r="H2519"/>
  <c r="H150"/>
  <c r="H151" s="1"/>
  <c r="H152" s="1"/>
  <c r="H153" s="1"/>
  <c r="B154" s="1"/>
  <c r="H504"/>
  <c r="H423"/>
  <c r="H546"/>
  <c r="H463"/>
  <c r="H381"/>
  <c r="H671"/>
  <c r="H529"/>
  <c r="H487"/>
  <c r="H446"/>
  <c r="H406"/>
  <c r="H800"/>
  <c r="H1000"/>
  <c r="H1293"/>
  <c r="H1402"/>
  <c r="H1406" s="1"/>
  <c r="H1407" s="1"/>
  <c r="H1408" s="1"/>
  <c r="B1408" s="1"/>
  <c r="D1408" s="1"/>
  <c r="H2045"/>
  <c r="H2706"/>
  <c r="H2881"/>
  <c r="H2015"/>
  <c r="H2019" s="1"/>
  <c r="H2535"/>
  <c r="H3655"/>
  <c r="H7"/>
  <c r="H687"/>
  <c r="H642"/>
  <c r="H1078"/>
  <c r="H1017"/>
  <c r="H1185"/>
  <c r="H1765"/>
  <c r="H1756"/>
  <c r="H1741"/>
  <c r="H2203"/>
  <c r="H3014"/>
  <c r="H3218"/>
  <c r="H3139"/>
  <c r="H3727"/>
  <c r="H3729" s="1"/>
  <c r="H3730" s="1"/>
  <c r="H3731" s="1"/>
  <c r="B3731" s="1"/>
  <c r="D3731" s="1"/>
  <c r="H2522"/>
  <c r="H1214"/>
  <c r="H1845"/>
  <c r="H1847" s="1"/>
  <c r="H1832"/>
  <c r="H1811"/>
  <c r="H1780"/>
  <c r="H1591"/>
  <c r="H2171"/>
  <c r="H2126"/>
  <c r="H2819"/>
  <c r="H2792"/>
  <c r="H3314"/>
  <c r="H3300"/>
  <c r="H3286"/>
  <c r="H3288" s="1"/>
  <c r="H3247"/>
  <c r="H3249" s="1"/>
  <c r="H3232"/>
  <c r="H3203"/>
  <c r="H3206" s="1"/>
  <c r="H3164"/>
  <c r="E407" i="3"/>
  <c r="E194" i="18" s="1"/>
  <c r="H3668" i="10"/>
  <c r="H3739"/>
  <c r="H3936"/>
  <c r="H3924"/>
  <c r="H3925" s="1"/>
  <c r="H4240"/>
  <c r="H3508"/>
  <c r="H3436"/>
  <c r="H3439" s="1"/>
  <c r="H3407"/>
  <c r="H3396"/>
  <c r="H3635"/>
  <c r="E481" i="3"/>
  <c r="E259" i="18" s="1"/>
  <c r="H2000" i="10"/>
  <c r="H2004" s="1"/>
  <c r="H783"/>
  <c r="H1351"/>
  <c r="H1309"/>
  <c r="H1277"/>
  <c r="H1416"/>
  <c r="H1420" s="1"/>
  <c r="H1421" s="1"/>
  <c r="H1422" s="1"/>
  <c r="B1422" s="1"/>
  <c r="D1422" s="1"/>
  <c r="H1489"/>
  <c r="H1492" s="1"/>
  <c r="H1493" s="1"/>
  <c r="H1494" s="1"/>
  <c r="B1494" s="1"/>
  <c r="D1494" s="1"/>
  <c r="H1828"/>
  <c r="H2323"/>
  <c r="H2233"/>
  <c r="F2776"/>
  <c r="G2776" s="1"/>
  <c r="H2777" s="1"/>
  <c r="G3324"/>
  <c r="H3411"/>
  <c r="H3392"/>
  <c r="H2485"/>
  <c r="H1900"/>
  <c r="E546" i="3"/>
  <c r="H4692" i="10"/>
  <c r="H4693" s="1"/>
  <c r="H9"/>
  <c r="H10" s="1"/>
  <c r="B11" s="1"/>
  <c r="E6" i="3" s="1"/>
  <c r="E3" i="18" s="1"/>
  <c r="B21" i="13"/>
  <c r="B22"/>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70" s="1"/>
  <c r="B71" s="1"/>
  <c r="B72" s="1"/>
  <c r="B73" s="1"/>
  <c r="B74" s="1"/>
  <c r="B75" s="1"/>
  <c r="B76" s="1"/>
  <c r="B77" s="1"/>
  <c r="B78" s="1"/>
  <c r="B79" s="1"/>
  <c r="B80" s="1"/>
  <c r="B81" s="1"/>
  <c r="B82" s="1"/>
  <c r="B83" s="1"/>
  <c r="B84" s="1"/>
  <c r="B85" s="1"/>
  <c r="B86" s="1"/>
  <c r="B87" s="1"/>
  <c r="B88" s="1"/>
  <c r="B89" s="1"/>
  <c r="B90" s="1"/>
  <c r="B91" s="1"/>
  <c r="B92" s="1"/>
  <c r="B93" s="1"/>
  <c r="B94" s="1"/>
  <c r="B95" s="1"/>
  <c r="B96" s="1"/>
  <c r="B98" s="1"/>
  <c r="B100" s="1"/>
  <c r="B101" s="1"/>
  <c r="B102" s="1"/>
  <c r="B103" s="1"/>
  <c r="B107" s="1"/>
  <c r="B108" s="1"/>
  <c r="B109" s="1"/>
  <c r="B110" s="1"/>
  <c r="B111" s="1"/>
  <c r="B112" s="1"/>
  <c r="B113" s="1"/>
  <c r="B114" s="1"/>
  <c r="B117" s="1"/>
  <c r="B120" s="1"/>
  <c r="B124" s="1"/>
  <c r="B125" s="1"/>
  <c r="B126" s="1"/>
  <c r="B127" s="1"/>
  <c r="B128" s="1"/>
  <c r="B129" s="1"/>
  <c r="B130" s="1"/>
  <c r="B131" s="1"/>
  <c r="B132" s="1"/>
  <c r="B133" s="1"/>
  <c r="H249" i="10"/>
  <c r="H987"/>
  <c r="H1168"/>
  <c r="H1121"/>
  <c r="H1034"/>
  <c r="H1015"/>
  <c r="H1181"/>
  <c r="H1388"/>
  <c r="H1392" s="1"/>
  <c r="H1768"/>
  <c r="H1726"/>
  <c r="H1710"/>
  <c r="H626"/>
  <c r="H1218"/>
  <c r="H1549"/>
  <c r="H1531"/>
  <c r="H2369"/>
  <c r="H2352"/>
  <c r="H2325"/>
  <c r="H2282"/>
  <c r="H2263"/>
  <c r="H2206"/>
  <c r="H2048"/>
  <c r="H3688"/>
  <c r="H3449"/>
  <c r="H3452" s="1"/>
  <c r="H4255"/>
  <c r="H4260" s="1"/>
  <c r="H1519"/>
  <c r="A253" i="18"/>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252"/>
  <c r="H2428" i="10"/>
  <c r="H2411"/>
  <c r="H2414" s="1"/>
  <c r="H2400"/>
  <c r="H2310"/>
  <c r="H2230"/>
  <c r="H2216"/>
  <c r="H2062"/>
  <c r="H2801"/>
  <c r="H2759"/>
  <c r="H3312"/>
  <c r="H3302"/>
  <c r="H3179"/>
  <c r="H3150"/>
  <c r="H3772"/>
  <c r="H3423"/>
  <c r="H4225"/>
  <c r="H4229" s="1"/>
  <c r="H3492"/>
  <c r="H4474"/>
  <c r="G4275"/>
  <c r="H4277" s="1"/>
  <c r="F22"/>
  <c r="G22" s="1"/>
  <c r="H22" s="1"/>
  <c r="F49"/>
  <c r="G49" s="1"/>
  <c r="H50" s="1"/>
  <c r="F78"/>
  <c r="G78" s="1"/>
  <c r="H79" s="1"/>
  <c r="H88"/>
  <c r="H23"/>
  <c r="H1520" l="1"/>
  <c r="H1521" s="1"/>
  <c r="H1522" s="1"/>
  <c r="B1522" s="1"/>
  <c r="H3027"/>
  <c r="H3028" s="1"/>
  <c r="H3029" s="1"/>
  <c r="B3029" s="1"/>
  <c r="D3029" s="1"/>
  <c r="E223" i="3" s="1"/>
  <c r="E154" i="18" s="1"/>
  <c r="H589" i="10"/>
  <c r="H228"/>
  <c r="H229" s="1"/>
  <c r="H230" s="1"/>
  <c r="B230" s="1"/>
  <c r="E23" i="3" s="1"/>
  <c r="H2673" i="10"/>
  <c r="H2460"/>
  <c r="H2461" s="1"/>
  <c r="H2462" s="1"/>
  <c r="H2463" s="1"/>
  <c r="B2463" s="1"/>
  <c r="D2463" s="1"/>
  <c r="E177" i="3" s="1"/>
  <c r="H3512" i="10"/>
  <c r="H3513" s="1"/>
  <c r="H3514" s="1"/>
  <c r="B3514" s="1"/>
  <c r="D3514" s="1"/>
  <c r="H2115"/>
  <c r="H2116" s="1"/>
  <c r="H2117" s="1"/>
  <c r="B2117" s="1"/>
  <c r="D2117" s="1"/>
  <c r="E155" i="3" s="1"/>
  <c r="E116" i="18" s="1"/>
  <c r="H91" i="10"/>
  <c r="H92" s="1"/>
  <c r="H93" s="1"/>
  <c r="B93" s="1"/>
  <c r="E12" i="3" s="1"/>
  <c r="E9" i="18" s="1"/>
  <c r="H2804" i="10"/>
  <c r="H2805" s="1"/>
  <c r="H2806" s="1"/>
  <c r="B2806" s="1"/>
  <c r="D2806" s="1"/>
  <c r="E204" i="3" s="1"/>
  <c r="E148" i="18" s="1"/>
  <c r="H3689" i="10"/>
  <c r="H3690" s="1"/>
  <c r="H3691" s="1"/>
  <c r="B3691" s="1"/>
  <c r="D3691" s="1"/>
  <c r="H1059"/>
  <c r="H1060" s="1"/>
  <c r="H1061" s="1"/>
  <c r="B1061" s="1"/>
  <c r="D1061" s="1"/>
  <c r="E81" i="3" s="1"/>
  <c r="E61" i="18" s="1"/>
  <c r="H1970" i="10"/>
  <c r="H1971" s="1"/>
  <c r="H1972" s="1"/>
  <c r="B1972" s="1"/>
  <c r="D1972" s="1"/>
  <c r="E510" i="3" s="1"/>
  <c r="E288" i="18" s="1"/>
  <c r="H2793" i="10"/>
  <c r="H2794" s="1"/>
  <c r="H2795" s="1"/>
  <c r="B2795" s="1"/>
  <c r="D2795" s="1"/>
  <c r="E203" i="3" s="1"/>
  <c r="E147" i="18" s="1"/>
  <c r="H2506" i="10"/>
  <c r="H2507" s="1"/>
  <c r="H2508" s="1"/>
  <c r="B2508" s="1"/>
  <c r="D2508" s="1"/>
  <c r="E540" i="3" s="1"/>
  <c r="E318" i="18" s="1"/>
  <c r="E449" i="3"/>
  <c r="E227" i="18" s="1"/>
  <c r="E448" i="3"/>
  <c r="E226" i="18" s="1"/>
  <c r="H968" i="10"/>
  <c r="H977" s="1"/>
  <c r="H978" s="1"/>
  <c r="H979" s="1"/>
  <c r="B979" s="1"/>
  <c r="E73" i="3" s="1"/>
  <c r="E565"/>
  <c r="E386"/>
  <c r="B4693" i="10"/>
  <c r="E372" i="3" s="1"/>
  <c r="E118"/>
  <c r="E180"/>
  <c r="E468"/>
  <c r="E246" i="18" s="1"/>
  <c r="E259" i="3"/>
  <c r="E465"/>
  <c r="E243" i="18" s="1"/>
  <c r="E256" i="3"/>
  <c r="E110"/>
  <c r="E416"/>
  <c r="E201" i="18" s="1"/>
  <c r="E277" i="3"/>
  <c r="E109"/>
  <c r="E138" i="18"/>
  <c r="E178" i="3"/>
  <c r="E464"/>
  <c r="E242" i="18" s="1"/>
  <c r="E255" i="3"/>
  <c r="E415"/>
  <c r="E200" i="18" s="1"/>
  <c r="E276" i="3"/>
  <c r="E21"/>
  <c r="E17"/>
  <c r="E12" i="18" s="1"/>
  <c r="E16"/>
  <c r="E24" i="3"/>
  <c r="E56"/>
  <c r="E43" i="18" s="1"/>
  <c r="H3222" i="10"/>
  <c r="H3223" s="1"/>
  <c r="H3224" s="1"/>
  <c r="B3224" s="1"/>
  <c r="D3224" s="1"/>
  <c r="E237" i="3" s="1"/>
  <c r="E168" i="18" s="1"/>
  <c r="H1891" i="10"/>
  <c r="H1892" s="1"/>
  <c r="H1893" s="1"/>
  <c r="B1893" s="1"/>
  <c r="D1893" s="1"/>
  <c r="H3703"/>
  <c r="H3704" s="1"/>
  <c r="H3705" s="1"/>
  <c r="B3705" s="1"/>
  <c r="D3705" s="1"/>
  <c r="H2659"/>
  <c r="H2660" s="1"/>
  <c r="H2661" s="1"/>
  <c r="H2662" s="1"/>
  <c r="B2662" s="1"/>
  <c r="D2662" s="1"/>
  <c r="E190" i="3" s="1"/>
  <c r="H1987" i="10"/>
  <c r="H1988" s="1"/>
  <c r="H1989" s="1"/>
  <c r="B1989" s="1"/>
  <c r="D1989" s="1"/>
  <c r="H2979"/>
  <c r="H2567"/>
  <c r="H2548"/>
  <c r="H2556" s="1"/>
  <c r="H2557" s="1"/>
  <c r="H2558" s="1"/>
  <c r="B2558" s="1"/>
  <c r="D2558" s="1"/>
  <c r="H4272"/>
  <c r="H3777"/>
  <c r="H3778" s="1"/>
  <c r="H3779" s="1"/>
  <c r="B3779" s="1"/>
  <c r="D3779" s="1"/>
  <c r="H1714"/>
  <c r="H1715" s="1"/>
  <c r="H1716" s="1"/>
  <c r="B1716" s="1"/>
  <c r="D1716" s="1"/>
  <c r="H1816"/>
  <c r="H1817" s="1"/>
  <c r="H1818" s="1"/>
  <c r="B1818" s="1"/>
  <c r="D1818" s="1"/>
  <c r="H1146"/>
  <c r="H1147" s="1"/>
  <c r="H1148" s="1"/>
  <c r="B1148" s="1"/>
  <c r="D1148" s="1"/>
  <c r="E85" i="3" s="1"/>
  <c r="E65" i="18" s="1"/>
  <c r="H1692" i="10"/>
  <c r="H3098"/>
  <c r="H3099" s="1"/>
  <c r="H3100" s="1"/>
  <c r="B3100" s="1"/>
  <c r="D3100" s="1"/>
  <c r="E228" i="3" s="1"/>
  <c r="E159" i="18" s="1"/>
  <c r="H2634" i="10"/>
  <c r="H2570"/>
  <c r="H2851"/>
  <c r="H2852" s="1"/>
  <c r="H2853" s="1"/>
  <c r="B2853" s="1"/>
  <c r="D2853" s="1"/>
  <c r="H1949"/>
  <c r="H1950" s="1"/>
  <c r="H1932"/>
  <c r="H1933" s="1"/>
  <c r="H1934" s="1"/>
  <c r="B1934" s="1"/>
  <c r="D1934" s="1"/>
  <c r="H2953"/>
  <c r="H2954" s="1"/>
  <c r="H2955" s="1"/>
  <c r="B2955" s="1"/>
  <c r="D2955" s="1"/>
  <c r="H3760"/>
  <c r="H3761" s="1"/>
  <c r="H3762" s="1"/>
  <c r="B3762" s="1"/>
  <c r="D3762" s="1"/>
  <c r="H1868"/>
  <c r="H1869" s="1"/>
  <c r="H1870" s="1"/>
  <c r="B1870" s="1"/>
  <c r="D1870" s="1"/>
  <c r="H128"/>
  <c r="H134" s="1"/>
  <c r="H135" s="1"/>
  <c r="H136" s="1"/>
  <c r="B136" s="1"/>
  <c r="E16" i="3" s="1"/>
  <c r="E11" i="18" s="1"/>
  <c r="H2837" i="10"/>
  <c r="H2838" s="1"/>
  <c r="H2839" s="1"/>
  <c r="B2839" s="1"/>
  <c r="D2839" s="1"/>
  <c r="H4438"/>
  <c r="H714"/>
  <c r="H4317"/>
  <c r="H268" i="19"/>
  <c r="H314"/>
  <c r="H317" s="1"/>
  <c r="H318" s="1"/>
  <c r="H319" s="1"/>
  <c r="B319" s="1"/>
  <c r="D319" s="1"/>
  <c r="E523" i="3" s="1"/>
  <c r="E301" i="18" s="1"/>
  <c r="H343" i="19"/>
  <c r="H348" s="1"/>
  <c r="H349" s="1"/>
  <c r="H350" s="1"/>
  <c r="B350" s="1"/>
  <c r="D350" s="1"/>
  <c r="H290"/>
  <c r="H326"/>
  <c r="H328"/>
  <c r="H272"/>
  <c r="H273" s="1"/>
  <c r="H274" s="1"/>
  <c r="B274" s="1"/>
  <c r="D274" s="1"/>
  <c r="H283"/>
  <c r="H292" s="1"/>
  <c r="H293" s="1"/>
  <c r="H294" s="1"/>
  <c r="B294" s="1"/>
  <c r="D294" s="1"/>
  <c r="H3001" i="10"/>
  <c r="H3003" s="1"/>
  <c r="H3004" s="1"/>
  <c r="H3005" s="1"/>
  <c r="B3005" s="1"/>
  <c r="D3005" s="1"/>
  <c r="E218" i="3" s="1"/>
  <c r="H2982" i="10"/>
  <c r="H2983" s="1"/>
  <c r="H2984" s="1"/>
  <c r="H2985" s="1"/>
  <c r="B2985" s="1"/>
  <c r="E216" i="3" s="1"/>
  <c r="H2647" i="10"/>
  <c r="H2648" s="1"/>
  <c r="H2649" s="1"/>
  <c r="H2650" s="1"/>
  <c r="B2650" s="1"/>
  <c r="D2650" s="1"/>
  <c r="E189" i="3" s="1"/>
  <c r="H2627" i="10"/>
  <c r="H2635" s="1"/>
  <c r="H2636" s="1"/>
  <c r="H2637" s="1"/>
  <c r="B2637" s="1"/>
  <c r="D2637" s="1"/>
  <c r="E188" i="3" s="1"/>
  <c r="H2585" i="10"/>
  <c r="H2581"/>
  <c r="H2295"/>
  <c r="H2299" s="1"/>
  <c r="H2300" s="1"/>
  <c r="H2301" s="1"/>
  <c r="B2301" s="1"/>
  <c r="D2301" s="1"/>
  <c r="E166" i="3" s="1"/>
  <c r="H4166" i="10"/>
  <c r="H4170" s="1"/>
  <c r="H4171" s="1"/>
  <c r="H4172" s="1"/>
  <c r="B4172" s="1"/>
  <c r="D4172" s="1"/>
  <c r="H4291"/>
  <c r="H4297" s="1"/>
  <c r="H4298" s="1"/>
  <c r="H4299" s="1"/>
  <c r="B4299" s="1"/>
  <c r="D4299" s="1"/>
  <c r="H4321"/>
  <c r="H3427"/>
  <c r="H3428" s="1"/>
  <c r="H3429" s="1"/>
  <c r="B3429" s="1"/>
  <c r="D3429" s="1"/>
  <c r="H2762"/>
  <c r="H2763" s="1"/>
  <c r="H2764" s="1"/>
  <c r="B2764" s="1"/>
  <c r="D2764" s="1"/>
  <c r="E201" i="3" s="1"/>
  <c r="E145" i="18" s="1"/>
  <c r="H1312" i="10"/>
  <c r="H1313" s="1"/>
  <c r="H1314" s="1"/>
  <c r="B1313" s="1"/>
  <c r="D1313" s="1"/>
  <c r="E100" i="3" s="1"/>
  <c r="H3940" i="10"/>
  <c r="H3941" s="1"/>
  <c r="H3942" s="1"/>
  <c r="B3942" s="1"/>
  <c r="H3236"/>
  <c r="H3237" s="1"/>
  <c r="H3238" s="1"/>
  <c r="B3238" s="1"/>
  <c r="D3238" s="1"/>
  <c r="E238" i="3" s="1"/>
  <c r="E169" i="18" s="1"/>
  <c r="H2176" i="10"/>
  <c r="H2177" s="1"/>
  <c r="H2178" s="1"/>
  <c r="B2178" s="1"/>
  <c r="D2178" s="1"/>
  <c r="E158" i="3" s="1"/>
  <c r="E120" i="18" s="1"/>
  <c r="H1638" i="10"/>
  <c r="H1639" s="1"/>
  <c r="H1640" s="1"/>
  <c r="B1640" s="1"/>
  <c r="D1640" s="1"/>
  <c r="H2895"/>
  <c r="H2896" s="1"/>
  <c r="H2897" s="1"/>
  <c r="B2897" s="1"/>
  <c r="D2897" s="1"/>
  <c r="H3082"/>
  <c r="H3083" s="1"/>
  <c r="H3084" s="1"/>
  <c r="B3084" s="1"/>
  <c r="D3084" s="1"/>
  <c r="E227" i="3" s="1"/>
  <c r="E158" i="18" s="1"/>
  <c r="H3998" i="10"/>
  <c r="H4348"/>
  <c r="H4350" s="1"/>
  <c r="H4351" s="1"/>
  <c r="H4352" s="1"/>
  <c r="B4352" s="1"/>
  <c r="D4352" s="1"/>
  <c r="E337" i="3" s="1"/>
  <c r="H2691" i="10"/>
  <c r="H2687"/>
  <c r="H2671"/>
  <c r="H1784"/>
  <c r="H1785" s="1"/>
  <c r="H1786" s="1"/>
  <c r="B1786" s="1"/>
  <c r="H1701"/>
  <c r="H1702" s="1"/>
  <c r="H1703" s="1"/>
  <c r="B1703" s="1"/>
  <c r="D1703" s="1"/>
  <c r="E129" i="3" s="1"/>
  <c r="H1267" i="10"/>
  <c r="H4375"/>
  <c r="H4379" s="1"/>
  <c r="H4405"/>
  <c r="H4410" s="1"/>
  <c r="H4411" s="1"/>
  <c r="H4412" s="1"/>
  <c r="B4412" s="1"/>
  <c r="D4412" s="1"/>
  <c r="E344" i="3" s="1"/>
  <c r="H4434" i="10"/>
  <c r="H4439" s="1"/>
  <c r="H4440" s="1"/>
  <c r="H4441" s="1"/>
  <c r="B4441" s="1"/>
  <c r="D4441" s="1"/>
  <c r="E346" i="3" s="1"/>
  <c r="H4333" i="10"/>
  <c r="H4335" s="1"/>
  <c r="H4336" s="1"/>
  <c r="H4337" s="1"/>
  <c r="B4337" s="1"/>
  <c r="D4337" s="1"/>
  <c r="E336" i="3" s="1"/>
  <c r="H4389" i="10"/>
  <c r="H4395" s="1"/>
  <c r="H4396" s="1"/>
  <c r="H4397" s="1"/>
  <c r="B4397" s="1"/>
  <c r="D4397" s="1"/>
  <c r="E343" i="3" s="1"/>
  <c r="H4420" i="10"/>
  <c r="H4424" s="1"/>
  <c r="H4425" s="1"/>
  <c r="H4426" s="1"/>
  <c r="B4426" s="1"/>
  <c r="D4426" s="1"/>
  <c r="E345" i="3" s="1"/>
  <c r="H4380" i="10"/>
  <c r="H4381" s="1"/>
  <c r="B4381" s="1"/>
  <c r="D4381" s="1"/>
  <c r="E339" i="3" s="1"/>
  <c r="B1316" i="10"/>
  <c r="D1316" s="1"/>
  <c r="E101" i="3" s="1"/>
  <c r="H2970" i="10"/>
  <c r="H2971" s="1"/>
  <c r="B2971" s="1"/>
  <c r="D2971" s="1"/>
  <c r="H572"/>
  <c r="H3999"/>
  <c r="H4000" s="1"/>
  <c r="H4001" s="1"/>
  <c r="H4002" s="1"/>
  <c r="B4002" s="1"/>
  <c r="D4002" s="1"/>
  <c r="E304" i="3" s="1"/>
  <c r="H4010" i="10"/>
  <c r="H4011" s="1"/>
  <c r="H4012" s="1"/>
  <c r="H4013" s="1"/>
  <c r="H4014" s="1"/>
  <c r="B4014" s="1"/>
  <c r="D4014" s="1"/>
  <c r="E305" i="3" s="1"/>
  <c r="H4023" i="10"/>
  <c r="H4024" s="1"/>
  <c r="H4025" s="1"/>
  <c r="H4026" s="1"/>
  <c r="H4027" s="1"/>
  <c r="B4027" s="1"/>
  <c r="D4027" s="1"/>
  <c r="E306" i="3" s="1"/>
  <c r="H4036" i="10"/>
  <c r="H4048"/>
  <c r="H4049" s="1"/>
  <c r="H4050" s="1"/>
  <c r="H4051" s="1"/>
  <c r="H4052" s="1"/>
  <c r="B4052" s="1"/>
  <c r="E308" i="3" s="1"/>
  <c r="H4060" i="10"/>
  <c r="H4061" s="1"/>
  <c r="H4062" s="1"/>
  <c r="H4063" s="1"/>
  <c r="H4064" s="1"/>
  <c r="B4064" s="1"/>
  <c r="E309" i="3" s="1"/>
  <c r="H4101" i="10"/>
  <c r="H4102" s="1"/>
  <c r="H4103" s="1"/>
  <c r="H4104" s="1"/>
  <c r="B4104" s="1"/>
  <c r="E313" i="3" s="1"/>
  <c r="H4149" i="10"/>
  <c r="H4153" s="1"/>
  <c r="H4154" s="1"/>
  <c r="H4155" s="1"/>
  <c r="B4155" s="1"/>
  <c r="D4155" s="1"/>
  <c r="H8" i="19"/>
  <c r="H13" s="1"/>
  <c r="H14" s="1"/>
  <c r="H15" s="1"/>
  <c r="B15" s="1"/>
  <c r="D15" s="1"/>
  <c r="E455" i="3" s="1"/>
  <c r="E233" i="18" s="1"/>
  <c r="H3182" i="10"/>
  <c r="H3183" s="1"/>
  <c r="H3184" s="1"/>
  <c r="B3184" s="1"/>
  <c r="D3184" s="1"/>
  <c r="E234" i="3" s="1"/>
  <c r="E165" i="18" s="1"/>
  <c r="H2356" i="10"/>
  <c r="H2357" s="1"/>
  <c r="H2358" s="1"/>
  <c r="B2358" s="1"/>
  <c r="D2358" s="1"/>
  <c r="E170" i="3" s="1"/>
  <c r="E133" i="18" s="1"/>
  <c r="H1540" i="10"/>
  <c r="H1541" s="1"/>
  <c r="H1542" s="1"/>
  <c r="B1542" s="1"/>
  <c r="D1542" s="1"/>
  <c r="H1039"/>
  <c r="H1040" s="1"/>
  <c r="H1041" s="1"/>
  <c r="B1041" s="1"/>
  <c r="D1041" s="1"/>
  <c r="E80" i="3" s="1"/>
  <c r="E60" i="18" s="1"/>
  <c r="H1172" i="10"/>
  <c r="H1173" s="1"/>
  <c r="H1174" s="1"/>
  <c r="B1174" s="1"/>
  <c r="D1174" s="1"/>
  <c r="E86" i="3" s="1"/>
  <c r="E66" i="18" s="1"/>
  <c r="H1282" i="10"/>
  <c r="H1283" s="1"/>
  <c r="H1284" s="1"/>
  <c r="B1284" s="1"/>
  <c r="D1284" s="1"/>
  <c r="H2882"/>
  <c r="H2883" s="1"/>
  <c r="H2884" s="1"/>
  <c r="B2884" s="1"/>
  <c r="D2884" s="1"/>
  <c r="H2032"/>
  <c r="H2033" s="1"/>
  <c r="H2034" s="1"/>
  <c r="B2034" s="1"/>
  <c r="D2034" s="1"/>
  <c r="E151" i="3" s="1"/>
  <c r="E112" i="18" s="1"/>
  <c r="H2160" i="10"/>
  <c r="H2161" s="1"/>
  <c r="H2938"/>
  <c r="H2939" s="1"/>
  <c r="H2940" s="1"/>
  <c r="B2940" s="1"/>
  <c r="D2940" s="1"/>
  <c r="H661"/>
  <c r="H662" s="1"/>
  <c r="H663" s="1"/>
  <c r="B663" s="1"/>
  <c r="E53" i="3" s="1"/>
  <c r="E40" i="18" s="1"/>
  <c r="H2311" i="10"/>
  <c r="H2312" s="1"/>
  <c r="H2313" s="1"/>
  <c r="B2313" s="1"/>
  <c r="D2313" s="1"/>
  <c r="H1186"/>
  <c r="H1187" s="1"/>
  <c r="H1188" s="1"/>
  <c r="B1188" s="1"/>
  <c r="D1188" s="1"/>
  <c r="E90" i="3" s="1"/>
  <c r="E68" i="18" s="1"/>
  <c r="H2523" i="10"/>
  <c r="H2524" s="1"/>
  <c r="H2525" s="1"/>
  <c r="B2525" s="1"/>
  <c r="D2525" s="1"/>
  <c r="H3140"/>
  <c r="H3141" s="1"/>
  <c r="H3142" s="1"/>
  <c r="B3142" s="1"/>
  <c r="D3142" s="1"/>
  <c r="E231" i="3" s="1"/>
  <c r="E162" i="18" s="1"/>
  <c r="H3015" i="10"/>
  <c r="H3016" s="1"/>
  <c r="H3017" s="1"/>
  <c r="B3017" s="1"/>
  <c r="D3017" s="1"/>
  <c r="E222" i="3" s="1"/>
  <c r="E153" i="18" s="1"/>
  <c r="H510" i="10"/>
  <c r="H511" s="1"/>
  <c r="H512" s="1"/>
  <c r="B512" s="1"/>
  <c r="H2219"/>
  <c r="H2220" s="1"/>
  <c r="H2221" s="1"/>
  <c r="B2221" s="1"/>
  <c r="D2221" s="1"/>
  <c r="E161" i="3" s="1"/>
  <c r="E123" i="18" s="1"/>
  <c r="H2910" i="10"/>
  <c r="H2911" s="1"/>
  <c r="H2912" s="1"/>
  <c r="B2912" s="1"/>
  <c r="D2912" s="1"/>
  <c r="E518" i="3"/>
  <c r="E296" i="18" s="1"/>
  <c r="H343" i="10"/>
  <c r="H345" s="1"/>
  <c r="H346" s="1"/>
  <c r="H347" s="1"/>
  <c r="B347" s="1"/>
  <c r="E34" i="3" s="1"/>
  <c r="E22" i="18" s="1"/>
  <c r="H917" i="10"/>
  <c r="H885"/>
  <c r="H2066"/>
  <c r="H2067" s="1"/>
  <c r="H2068" s="1"/>
  <c r="B2068" s="1"/>
  <c r="D2068" s="1"/>
  <c r="E153" i="3" s="1"/>
  <c r="E114" i="18" s="1"/>
  <c r="H2431" i="10"/>
  <c r="H2432" s="1"/>
  <c r="H2433" s="1"/>
  <c r="B2433" s="1"/>
  <c r="D2433" s="1"/>
  <c r="E175" i="3" s="1"/>
  <c r="E139" i="18" s="1"/>
  <c r="H2049" i="10"/>
  <c r="H2050" s="1"/>
  <c r="H2051" s="1"/>
  <c r="B2051" s="1"/>
  <c r="D2051" s="1"/>
  <c r="E152" i="3" s="1"/>
  <c r="E113" i="18" s="1"/>
  <c r="H2372" i="10"/>
  <c r="H2373" s="1"/>
  <c r="H2374" s="1"/>
  <c r="B2374" s="1"/>
  <c r="D2374" s="1"/>
  <c r="E171" i="3" s="1"/>
  <c r="E134" i="18" s="1"/>
  <c r="H1556" i="10"/>
  <c r="H1557" s="1"/>
  <c r="H1558" s="1"/>
  <c r="B1558" s="1"/>
  <c r="D1558" s="1"/>
  <c r="H3744"/>
  <c r="H3745" s="1"/>
  <c r="H3746" s="1"/>
  <c r="B3746" s="1"/>
  <c r="D3746" s="1"/>
  <c r="H1598"/>
  <c r="H1599" s="1"/>
  <c r="H1600" s="1"/>
  <c r="B1600" s="1"/>
  <c r="D1600" s="1"/>
  <c r="H1742"/>
  <c r="H1743" s="1"/>
  <c r="H1744" s="1"/>
  <c r="B1744" s="1"/>
  <c r="H2536"/>
  <c r="H2537" s="1"/>
  <c r="H2538" s="1"/>
  <c r="B2538" s="1"/>
  <c r="H2707"/>
  <c r="H2708" s="1"/>
  <c r="H2709" s="1"/>
  <c r="B2709" s="1"/>
  <c r="D2709" s="1"/>
  <c r="E197" i="3" s="1"/>
  <c r="E141" i="18" s="1"/>
  <c r="H1580" i="10"/>
  <c r="H1581" s="1"/>
  <c r="H1582" s="1"/>
  <c r="B1582" s="1"/>
  <c r="D1582" s="1"/>
  <c r="H1247"/>
  <c r="H1250" s="1"/>
  <c r="H1251" s="1"/>
  <c r="H1252" s="1"/>
  <c r="H429"/>
  <c r="H430" s="1"/>
  <c r="H431" s="1"/>
  <c r="B431" s="1"/>
  <c r="E38" i="3" s="1"/>
  <c r="E28" i="18" s="1"/>
  <c r="H2616" i="10"/>
  <c r="H2617" s="1"/>
  <c r="H2618" s="1"/>
  <c r="B2618" s="1"/>
  <c r="D2618" s="1"/>
  <c r="H1197"/>
  <c r="H956"/>
  <c r="H959" s="1"/>
  <c r="H960" s="1"/>
  <c r="H961" s="1"/>
  <c r="B961" s="1"/>
  <c r="E72" i="3" s="1"/>
  <c r="H930" i="10"/>
  <c r="H839"/>
  <c r="H718"/>
  <c r="H719" s="1"/>
  <c r="H720" s="1"/>
  <c r="H721" s="1"/>
  <c r="B721" s="1"/>
  <c r="E44" i="18" s="1"/>
  <c r="H691" i="10"/>
  <c r="H692" s="1"/>
  <c r="H370"/>
  <c r="H371" s="1"/>
  <c r="H372" s="1"/>
  <c r="B372" s="1"/>
  <c r="E35" i="3" s="1"/>
  <c r="E23" i="18" s="1"/>
  <c r="H3153" i="10"/>
  <c r="H3154" s="1"/>
  <c r="H3155" s="1"/>
  <c r="B3155" s="1"/>
  <c r="D3155" s="1"/>
  <c r="E232" i="3" s="1"/>
  <c r="E163" i="18" s="1"/>
  <c r="H2267" i="10"/>
  <c r="H2268" s="1"/>
  <c r="H2269" s="1"/>
  <c r="B2269" s="1"/>
  <c r="D2269" s="1"/>
  <c r="E164" i="3" s="1"/>
  <c r="E128" i="18" s="1"/>
  <c r="H2820" i="10"/>
  <c r="H2821" s="1"/>
  <c r="H2822" s="1"/>
  <c r="B2822" s="1"/>
  <c r="D2822" s="1"/>
  <c r="E205" i="3" s="1"/>
  <c r="E149" i="18" s="1"/>
  <c r="H1757" i="10"/>
  <c r="H1758" s="1"/>
  <c r="H1759" s="1"/>
  <c r="B1759" s="1"/>
  <c r="H1081"/>
  <c r="H1082" s="1"/>
  <c r="H1083" s="1"/>
  <c r="B1083" s="1"/>
  <c r="D1083" s="1"/>
  <c r="E82" i="3" s="1"/>
  <c r="E62" i="18" s="1"/>
  <c r="H3656" i="10"/>
  <c r="H3657" s="1"/>
  <c r="H806"/>
  <c r="H807" s="1"/>
  <c r="H808" s="1"/>
  <c r="B808" s="1"/>
  <c r="H551"/>
  <c r="H552" s="1"/>
  <c r="H553" s="1"/>
  <c r="B553" s="1"/>
  <c r="E44" i="3" s="1"/>
  <c r="E34" i="18" s="1"/>
  <c r="H2734" i="10"/>
  <c r="H2735" s="1"/>
  <c r="H2736" s="1"/>
  <c r="B2736" s="1"/>
  <c r="D2736" s="1"/>
  <c r="E199" i="3" s="1"/>
  <c r="E143" i="18" s="1"/>
  <c r="H2192" i="10"/>
  <c r="H2193" s="1"/>
  <c r="H2194" s="1"/>
  <c r="B2194" s="1"/>
  <c r="D2194" s="1"/>
  <c r="E159" i="3" s="1"/>
  <c r="E121" i="18" s="1"/>
  <c r="H2341" i="10"/>
  <c r="H2342" s="1"/>
  <c r="H2343" s="1"/>
  <c r="B2343" s="1"/>
  <c r="D2343" s="1"/>
  <c r="H892"/>
  <c r="H865"/>
  <c r="H387"/>
  <c r="H388" s="1"/>
  <c r="H389" s="1"/>
  <c r="B389" s="1"/>
  <c r="H767"/>
  <c r="H768" s="1"/>
  <c r="H769" s="1"/>
  <c r="H770" s="1"/>
  <c r="B770" s="1"/>
  <c r="H751"/>
  <c r="H752" s="1"/>
  <c r="H753" s="1"/>
  <c r="H754" s="1"/>
  <c r="B754" s="1"/>
  <c r="H566"/>
  <c r="H609"/>
  <c r="H110"/>
  <c r="H2775"/>
  <c r="H2778" s="1"/>
  <c r="H2779" s="1"/>
  <c r="H2780" s="1"/>
  <c r="B2780" s="1"/>
  <c r="D2780" s="1"/>
  <c r="E202" i="3" s="1"/>
  <c r="E146" i="18" s="1"/>
  <c r="H1682" i="10"/>
  <c r="H1683" s="1"/>
  <c r="H1684" s="1"/>
  <c r="B1684" s="1"/>
  <c r="D1684" s="1"/>
  <c r="E128" i="3" s="1"/>
  <c r="E93" i="18" s="1"/>
  <c r="H3315" i="10"/>
  <c r="H3316" s="1"/>
  <c r="H3317" s="1"/>
  <c r="B3317" s="1"/>
  <c r="D3317" s="1"/>
  <c r="E244" i="3" s="1"/>
  <c r="E176" i="18" s="1"/>
  <c r="H2207" i="10"/>
  <c r="H2208" s="1"/>
  <c r="H2209" s="1"/>
  <c r="B2209" s="1"/>
  <c r="D2209" s="1"/>
  <c r="E160" i="3" s="1"/>
  <c r="E122" i="18" s="1"/>
  <c r="H1219" i="10"/>
  <c r="H1220" s="1"/>
  <c r="H1221" s="1"/>
  <c r="B1221" s="1"/>
  <c r="D1221" s="1"/>
  <c r="H2489"/>
  <c r="H2490" s="1"/>
  <c r="H2491" s="1"/>
  <c r="B2491" s="1"/>
  <c r="D2491" s="1"/>
  <c r="H2135"/>
  <c r="H2136" s="1"/>
  <c r="H2137" s="1"/>
  <c r="B2137" s="1"/>
  <c r="D2137" s="1"/>
  <c r="E156" i="3" s="1"/>
  <c r="E117" i="18" s="1"/>
  <c r="H648" i="10"/>
  <c r="H649" s="1"/>
  <c r="H650" s="1"/>
  <c r="B650" s="1"/>
  <c r="E52" i="3" s="1"/>
  <c r="E39" i="18" s="1"/>
  <c r="H1003" i="10"/>
  <c r="H1004" s="1"/>
  <c r="H1005" s="1"/>
  <c r="B1005" s="1"/>
  <c r="D1005" s="1"/>
  <c r="E78" i="3" s="1"/>
  <c r="E58" i="18" s="1"/>
  <c r="H1097" i="10"/>
  <c r="H1098" s="1"/>
  <c r="H1099" s="1"/>
  <c r="B1099" s="1"/>
  <c r="D1099" s="1"/>
  <c r="E83" i="3" s="1"/>
  <c r="E63" i="18" s="1"/>
  <c r="H3042" i="10"/>
  <c r="H3043" s="1"/>
  <c r="H3044" s="1"/>
  <c r="B3044" s="1"/>
  <c r="D3044" s="1"/>
  <c r="E224" i="3" s="1"/>
  <c r="E155" i="18" s="1"/>
  <c r="G3340" i="10"/>
  <c r="H216"/>
  <c r="H217" s="1"/>
  <c r="H218" s="1"/>
  <c r="H219" s="1"/>
  <c r="B219" s="1"/>
  <c r="E22" i="3" s="1"/>
  <c r="H1664" i="10"/>
  <c r="H1665" s="1"/>
  <c r="H1666" s="1"/>
  <c r="B1666" s="1"/>
  <c r="D1666" s="1"/>
  <c r="H938"/>
  <c r="H910"/>
  <c r="H789"/>
  <c r="H790" s="1"/>
  <c r="H791" s="1"/>
  <c r="H792" s="1"/>
  <c r="B792" s="1"/>
  <c r="H1613"/>
  <c r="H1620"/>
  <c r="H469"/>
  <c r="H470" s="1"/>
  <c r="H471" s="1"/>
  <c r="B471" s="1"/>
  <c r="E40" i="3" s="1"/>
  <c r="E30" i="18" s="1"/>
  <c r="H829" i="10"/>
  <c r="H830" s="1"/>
  <c r="H831" s="1"/>
  <c r="B831" s="1"/>
  <c r="H872"/>
  <c r="H846"/>
  <c r="H735"/>
  <c r="H736" s="1"/>
  <c r="H737" s="1"/>
  <c r="H738" s="1"/>
  <c r="B738" s="1"/>
  <c r="H675"/>
  <c r="H676" s="1"/>
  <c r="H631"/>
  <c r="H632" s="1"/>
  <c r="H633" s="1"/>
  <c r="H634" s="1"/>
  <c r="B634" s="1"/>
  <c r="E51" i="3" s="1"/>
  <c r="E38" i="18" s="1"/>
  <c r="H585" i="10"/>
  <c r="H614"/>
  <c r="H325"/>
  <c r="H327" s="1"/>
  <c r="H328" s="1"/>
  <c r="H329" s="1"/>
  <c r="B329" s="1"/>
  <c r="E33" i="3" s="1"/>
  <c r="E21" i="18" s="1"/>
  <c r="H298" i="10"/>
  <c r="H294"/>
  <c r="H3496"/>
  <c r="H3497" s="1"/>
  <c r="H3498" s="1"/>
  <c r="B3498" s="1"/>
  <c r="D3498" s="1"/>
  <c r="H2283"/>
  <c r="H2284" s="1"/>
  <c r="H2285" s="1"/>
  <c r="B2285" s="1"/>
  <c r="D2285" s="1"/>
  <c r="E165" i="3" s="1"/>
  <c r="E129" i="18" s="1"/>
  <c r="H1727" i="10"/>
  <c r="H1728" s="1"/>
  <c r="H1729" s="1"/>
  <c r="B1729" s="1"/>
  <c r="H1126"/>
  <c r="H1127" s="1"/>
  <c r="H1128" s="1"/>
  <c r="B1128" s="1"/>
  <c r="D1128" s="1"/>
  <c r="E84" i="3" s="1"/>
  <c r="E64" i="18" s="1"/>
  <c r="H1910" i="10"/>
  <c r="H1911" s="1"/>
  <c r="H1912" s="1"/>
  <c r="B1912" s="1"/>
  <c r="D1912" s="1"/>
  <c r="H3325"/>
  <c r="H3328" s="1"/>
  <c r="H3329" s="1"/>
  <c r="H3330" s="1"/>
  <c r="B3330" s="1"/>
  <c r="D3330" s="1"/>
  <c r="E245" i="3" s="1"/>
  <c r="E177" i="18" s="1"/>
  <c r="H3640" i="10"/>
  <c r="H3641" s="1"/>
  <c r="H3642" s="1"/>
  <c r="B3642" s="1"/>
  <c r="D3642" s="1"/>
  <c r="H4244"/>
  <c r="H4245" s="1"/>
  <c r="H4246" s="1"/>
  <c r="B4246" s="1"/>
  <c r="D4246" s="1"/>
  <c r="H3672"/>
  <c r="H3673" s="1"/>
  <c r="H3674" s="1"/>
  <c r="B3674" s="1"/>
  <c r="D3674" s="1"/>
  <c r="H3167"/>
  <c r="H3168" s="1"/>
  <c r="H3169" s="1"/>
  <c r="B3169" s="1"/>
  <c r="D3169" s="1"/>
  <c r="E233" i="3" s="1"/>
  <c r="E164" i="18" s="1"/>
  <c r="H1298" i="10"/>
  <c r="H1299" s="1"/>
  <c r="H1300" s="1"/>
  <c r="B1300" s="1"/>
  <c r="D1300" s="1"/>
  <c r="H2926"/>
  <c r="H2927" s="1"/>
  <c r="H2928" s="1"/>
  <c r="B2928" s="1"/>
  <c r="D2928" s="1"/>
  <c r="H1435"/>
  <c r="H3555"/>
  <c r="H3556" s="1"/>
  <c r="H3557" s="1"/>
  <c r="B3557" s="1"/>
  <c r="D3557" s="1"/>
  <c r="F3380"/>
  <c r="G3380" s="1"/>
  <c r="F2863"/>
  <c r="G2863" s="1"/>
  <c r="F3379"/>
  <c r="G3379" s="1"/>
  <c r="F3351"/>
  <c r="G3351" s="1"/>
  <c r="G3339"/>
  <c r="F2862"/>
  <c r="G2862" s="1"/>
  <c r="H2863" s="1"/>
  <c r="H2866" s="1"/>
  <c r="H2867" s="1"/>
  <c r="H2868" s="1"/>
  <c r="B2868" s="1"/>
  <c r="D2868" s="1"/>
  <c r="H3366"/>
  <c r="H3368" s="1"/>
  <c r="H1018"/>
  <c r="H1019" s="1"/>
  <c r="H1020" s="1"/>
  <c r="B1020" s="1"/>
  <c r="D1020" s="1"/>
  <c r="E79" i="3" s="1"/>
  <c r="E59" i="18" s="1"/>
  <c r="H3303" i="10"/>
  <c r="H3304" s="1"/>
  <c r="H3305" s="1"/>
  <c r="B3305" s="1"/>
  <c r="D3305" s="1"/>
  <c r="E243" i="3" s="1"/>
  <c r="E175" i="18" s="1"/>
  <c r="H1769" i="10"/>
  <c r="H1770" s="1"/>
  <c r="H1771" s="1"/>
  <c r="B1771" s="1"/>
  <c r="H2597"/>
  <c r="H2598" s="1"/>
  <c r="B2598" s="1"/>
  <c r="D2598" s="1"/>
  <c r="E186" i="3" s="1"/>
  <c r="H2326" i="10"/>
  <c r="H2327" s="1"/>
  <c r="H2328" s="1"/>
  <c r="B2328" s="1"/>
  <c r="D2328" s="1"/>
  <c r="H1833"/>
  <c r="H1834" s="1"/>
  <c r="H1835" s="1"/>
  <c r="B1835" s="1"/>
  <c r="D1835" s="1"/>
  <c r="H1459"/>
  <c r="H1464" s="1"/>
  <c r="H1465" s="1"/>
  <c r="H1466" s="1"/>
  <c r="B1466" s="1"/>
  <c r="D1466" s="1"/>
  <c r="E113" i="3" s="1"/>
  <c r="H1263" i="10"/>
  <c r="H1370"/>
  <c r="H1229"/>
  <c r="H1232" s="1"/>
  <c r="H1233" s="1"/>
  <c r="H1201"/>
  <c r="H3068"/>
  <c r="H3069" s="1"/>
  <c r="H3070" s="1"/>
  <c r="B3070" s="1"/>
  <c r="D3070" s="1"/>
  <c r="E226" i="3" s="1"/>
  <c r="E157" i="18" s="1"/>
  <c r="H1374" i="10"/>
  <c r="H1355"/>
  <c r="H1356" s="1"/>
  <c r="H1357" s="1"/>
  <c r="H1358" s="1"/>
  <c r="H1502"/>
  <c r="H1506" s="1"/>
  <c r="H1507" s="1"/>
  <c r="H1508" s="1"/>
  <c r="B1508" s="1"/>
  <c r="D1508" s="1"/>
  <c r="H1328"/>
  <c r="H193"/>
  <c r="H194" s="1"/>
  <c r="H195" s="1"/>
  <c r="H196" s="1"/>
  <c r="B196" s="1"/>
  <c r="H990"/>
  <c r="H991" s="1"/>
  <c r="H992" s="1"/>
  <c r="B992" s="1"/>
  <c r="H2234"/>
  <c r="H2235" s="1"/>
  <c r="H2236" s="1"/>
  <c r="B2236" s="1"/>
  <c r="D2236" s="1"/>
  <c r="B241"/>
  <c r="D241" s="1"/>
  <c r="H3397"/>
  <c r="H3398" s="1"/>
  <c r="H3399" s="1"/>
  <c r="B3399" s="1"/>
  <c r="D3399" s="1"/>
  <c r="H2252"/>
  <c r="H2253" s="1"/>
  <c r="H2254" s="1"/>
  <c r="B2254" s="1"/>
  <c r="D2254" s="1"/>
  <c r="H2090"/>
  <c r="H2091" s="1"/>
  <c r="H2092" s="1"/>
  <c r="B2092" s="1"/>
  <c r="D2092" s="1"/>
  <c r="E154" i="3" s="1"/>
  <c r="E115" i="18" s="1"/>
  <c r="A210" i="10"/>
  <c r="A222" s="1"/>
  <c r="A233" s="1"/>
  <c r="A245" s="1"/>
  <c r="E402" i="3"/>
  <c r="E189" i="18" s="1"/>
  <c r="F3966" i="10"/>
  <c r="G3953"/>
  <c r="H3953" s="1"/>
  <c r="H3956" s="1"/>
  <c r="H179"/>
  <c r="H180" s="1"/>
  <c r="B181" s="1"/>
  <c r="E19" i="3" s="1"/>
  <c r="E398"/>
  <c r="E185" i="18" s="1"/>
  <c r="H2719" i="10"/>
  <c r="H2720" s="1"/>
  <c r="H2721" s="1"/>
  <c r="B2721" s="1"/>
  <c r="D2721" s="1"/>
  <c r="E198" i="3" s="1"/>
  <c r="E142" i="18" s="1"/>
  <c r="H2750" i="10"/>
  <c r="H2751" s="1"/>
  <c r="H2752" s="1"/>
  <c r="B2752" s="1"/>
  <c r="D2752" s="1"/>
  <c r="E200" i="3" s="1"/>
  <c r="E144" i="18" s="1"/>
  <c r="H1451" i="10"/>
  <c r="H1452" s="1"/>
  <c r="B1452" s="1"/>
  <c r="D1452" s="1"/>
  <c r="H65"/>
  <c r="H66" s="1"/>
  <c r="B67" s="1"/>
  <c r="E10" i="3" s="1"/>
  <c r="E7" i="18" s="1"/>
  <c r="H49" i="10"/>
  <c r="H3289"/>
  <c r="H3290" s="1"/>
  <c r="B3290" s="1"/>
  <c r="D3290" s="1"/>
  <c r="E242" i="3" s="1"/>
  <c r="E174" i="18" s="1"/>
  <c r="H2005" i="10"/>
  <c r="H2006" s="1"/>
  <c r="B2006" s="1"/>
  <c r="H3207"/>
  <c r="H3208" s="1"/>
  <c r="B3208" s="1"/>
  <c r="D3208" s="1"/>
  <c r="E236" i="3" s="1"/>
  <c r="E167" i="18" s="1"/>
  <c r="H3250" i="10"/>
  <c r="H3251" s="1"/>
  <c r="B3251" s="1"/>
  <c r="D3251" s="1"/>
  <c r="E239" i="3" s="1"/>
  <c r="E171" i="18" s="1"/>
  <c r="H3412" i="10"/>
  <c r="H3413" s="1"/>
  <c r="H3414" s="1"/>
  <c r="B3414" s="1"/>
  <c r="D3414" s="1"/>
  <c r="H412"/>
  <c r="H413" s="1"/>
  <c r="H414" s="1"/>
  <c r="B414" s="1"/>
  <c r="H493"/>
  <c r="H452"/>
  <c r="H535"/>
  <c r="H536" s="1"/>
  <c r="H537" s="1"/>
  <c r="B537" s="1"/>
  <c r="E43" i="3" s="1"/>
  <c r="E33" i="18" s="1"/>
  <c r="H3540" i="10"/>
  <c r="H3541" s="1"/>
  <c r="B3541" s="1"/>
  <c r="D3541" s="1"/>
  <c r="H3926"/>
  <c r="H3927" s="1"/>
  <c r="B3927" s="1"/>
  <c r="H3265"/>
  <c r="H3266" s="1"/>
  <c r="B3266" s="1"/>
  <c r="D3266" s="1"/>
  <c r="E240" i="3" s="1"/>
  <c r="E172" i="18" s="1"/>
  <c r="H2020" i="10"/>
  <c r="H2021" s="1"/>
  <c r="B2021" s="1"/>
  <c r="H1478"/>
  <c r="H1479" s="1"/>
  <c r="H1480" s="1"/>
  <c r="B1480" s="1"/>
  <c r="G4457"/>
  <c r="G4475"/>
  <c r="H4480" s="1"/>
  <c r="H4481" s="1"/>
  <c r="H3440"/>
  <c r="H3441" s="1"/>
  <c r="B3441" s="1"/>
  <c r="D3441" s="1"/>
  <c r="H1848"/>
  <c r="H1849" s="1"/>
  <c r="B1849" s="1"/>
  <c r="H4278"/>
  <c r="H4309"/>
  <c r="H4310" s="1"/>
  <c r="B4310" s="1"/>
  <c r="H4230"/>
  <c r="H4231" s="1"/>
  <c r="B4231" s="1"/>
  <c r="D4231" s="1"/>
  <c r="H2415"/>
  <c r="H2416" s="1"/>
  <c r="B2416" s="1"/>
  <c r="D2416" s="1"/>
  <c r="E174" i="3" s="1"/>
  <c r="E137" i="18" s="1"/>
  <c r="H4261" i="10"/>
  <c r="H4262" s="1"/>
  <c r="B4262" s="1"/>
  <c r="D4262" s="1"/>
  <c r="H3453"/>
  <c r="H3454" s="1"/>
  <c r="B3454" s="1"/>
  <c r="D3454" s="1"/>
  <c r="H1393"/>
  <c r="H1394" s="1"/>
  <c r="B1393" s="1"/>
  <c r="D1393" s="1"/>
  <c r="H250"/>
  <c r="H251" s="1"/>
  <c r="H78"/>
  <c r="E526" i="3"/>
  <c r="E304" i="18" s="1"/>
  <c r="E406" i="3"/>
  <c r="E193" i="18" s="1"/>
  <c r="E170"/>
  <c r="H2401" i="10"/>
  <c r="H2402" s="1"/>
  <c r="B2402" s="1"/>
  <c r="D2402" s="1"/>
  <c r="E173" i="3" s="1"/>
  <c r="E136" i="18" s="1"/>
  <c r="H1801" i="10"/>
  <c r="H1802" s="1"/>
  <c r="B1802" s="1"/>
  <c r="D1802" s="1"/>
  <c r="B134" i="13"/>
  <c r="B135"/>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5" s="1"/>
  <c r="B186" s="1"/>
  <c r="B187" s="1"/>
  <c r="B188" s="1"/>
  <c r="B189" s="1"/>
  <c r="B190" s="1"/>
  <c r="B192" s="1"/>
  <c r="B193" s="1"/>
  <c r="B196" s="1"/>
  <c r="B197" s="1"/>
  <c r="B198" s="1"/>
  <c r="B199" s="1"/>
  <c r="B200" s="1"/>
  <c r="B201" s="1"/>
  <c r="B202" s="1"/>
  <c r="B203" s="1"/>
  <c r="B204" s="1"/>
  <c r="B205" s="1"/>
  <c r="B206" s="1"/>
  <c r="B207" s="1"/>
  <c r="B208" s="1"/>
  <c r="B209" s="1"/>
  <c r="B210" s="1"/>
  <c r="B211" s="1"/>
  <c r="B212" s="1"/>
  <c r="B213" s="1"/>
  <c r="B214" s="1"/>
  <c r="B215" s="1"/>
  <c r="B216" s="1"/>
  <c r="B217" s="1"/>
  <c r="B218" s="1"/>
  <c r="B219" s="1"/>
  <c r="H80" i="10"/>
  <c r="H81" s="1"/>
  <c r="B82" s="1"/>
  <c r="E11" i="3" s="1"/>
  <c r="E8" i="18" s="1"/>
  <c r="H51" i="10"/>
  <c r="H52" s="1"/>
  <c r="B53" s="1"/>
  <c r="E9" i="3" s="1"/>
  <c r="E6" i="18" s="1"/>
  <c r="H24" i="10"/>
  <c r="H25" s="1"/>
  <c r="B26" s="1"/>
  <c r="E7" i="3" s="1"/>
  <c r="E4" i="18" s="1"/>
  <c r="H4279" i="10" l="1"/>
  <c r="H2674"/>
  <c r="H2675" s="1"/>
  <c r="H2676" s="1"/>
  <c r="B2676" s="1"/>
  <c r="D2676" s="1"/>
  <c r="E191" i="3" s="1"/>
  <c r="E145"/>
  <c r="E17" i="18"/>
  <c r="E25" i="3"/>
  <c r="H1375" i="10"/>
  <c r="H1376" s="1"/>
  <c r="H1377" s="1"/>
  <c r="B1379" s="1"/>
  <c r="D1379" s="1"/>
  <c r="E107" i="3" s="1"/>
  <c r="H3352" i="10"/>
  <c r="H3354" s="1"/>
  <c r="H3355" s="1"/>
  <c r="H3356" s="1"/>
  <c r="B3356" s="1"/>
  <c r="D3356" s="1"/>
  <c r="E247" i="3" s="1"/>
  <c r="E179" i="18" s="1"/>
  <c r="H895" i="10"/>
  <c r="H896" s="1"/>
  <c r="H897" s="1"/>
  <c r="B897" s="1"/>
  <c r="E69" i="3" s="1"/>
  <c r="E54" i="18" s="1"/>
  <c r="H116" i="10"/>
  <c r="H117" s="1"/>
  <c r="H118" s="1"/>
  <c r="B118" s="1"/>
  <c r="E13" i="3" s="1"/>
  <c r="E545"/>
  <c r="E456"/>
  <c r="E234" i="18" s="1"/>
  <c r="E328" i="3"/>
  <c r="E440"/>
  <c r="E221" i="18" s="1"/>
  <c r="E326" i="3"/>
  <c r="E516"/>
  <c r="E294" i="18" s="1"/>
  <c r="E320" i="3"/>
  <c r="E471"/>
  <c r="E249" i="18" s="1"/>
  <c r="E333" i="3"/>
  <c r="E517"/>
  <c r="E295" i="18" s="1"/>
  <c r="E334" i="3"/>
  <c r="E441"/>
  <c r="E222" i="18" s="1"/>
  <c r="E327" i="3"/>
  <c r="E472"/>
  <c r="E250" i="18" s="1"/>
  <c r="E321" i="3"/>
  <c r="E463"/>
  <c r="E241" i="18" s="1"/>
  <c r="E254" i="3"/>
  <c r="E413"/>
  <c r="E198" i="18" s="1"/>
  <c r="E274" i="3"/>
  <c r="E136"/>
  <c r="E101" i="18" s="1"/>
  <c r="E424" i="3"/>
  <c r="E207" i="18" s="1"/>
  <c r="E252" i="3"/>
  <c r="E78" i="18"/>
  <c r="E108" i="3"/>
  <c r="E121"/>
  <c r="E86" i="18" s="1"/>
  <c r="E110"/>
  <c r="E139" i="3"/>
  <c r="E462"/>
  <c r="E240" i="18" s="1"/>
  <c r="E253" i="3"/>
  <c r="E83" i="18"/>
  <c r="E120" i="3"/>
  <c r="E85" i="18" s="1"/>
  <c r="E117" i="3"/>
  <c r="E513"/>
  <c r="E291" i="18" s="1"/>
  <c r="E148" i="3"/>
  <c r="E426"/>
  <c r="E209" i="18" s="1"/>
  <c r="E299" i="3"/>
  <c r="E461"/>
  <c r="E239" i="18" s="1"/>
  <c r="E251" i="3"/>
  <c r="E512"/>
  <c r="E290" i="18" s="1"/>
  <c r="E147" i="3"/>
  <c r="E467"/>
  <c r="E245" i="18" s="1"/>
  <c r="E258" i="3"/>
  <c r="E474"/>
  <c r="E252" i="18" s="1"/>
  <c r="E112" i="3"/>
  <c r="E127" i="18"/>
  <c r="E163" i="3"/>
  <c r="E125" i="18" s="1"/>
  <c r="E168" i="3"/>
  <c r="E132" i="18" s="1"/>
  <c r="E134" i="3"/>
  <c r="E99" i="18" s="1"/>
  <c r="E99" i="3"/>
  <c r="E412"/>
  <c r="E197" i="18" s="1"/>
  <c r="E273" i="3"/>
  <c r="E489"/>
  <c r="E267" i="18" s="1"/>
  <c r="E271" i="3"/>
  <c r="E507"/>
  <c r="E285" i="18" s="1"/>
  <c r="E142" i="3"/>
  <c r="E107" i="18" s="1"/>
  <c r="E131" i="3"/>
  <c r="E96" i="18" s="1"/>
  <c r="E466" i="3"/>
  <c r="E244" i="18" s="1"/>
  <c r="E257" i="3"/>
  <c r="E127"/>
  <c r="E92" i="18" s="1"/>
  <c r="E494" i="3"/>
  <c r="E272" i="18" s="1"/>
  <c r="E179" i="3"/>
  <c r="E119" i="18"/>
  <c r="E187" i="3"/>
  <c r="E132"/>
  <c r="E97" i="18" s="1"/>
  <c r="E417" i="3"/>
  <c r="E202" i="18" s="1"/>
  <c r="E278" i="3"/>
  <c r="E401"/>
  <c r="E188" i="18" s="1"/>
  <c r="E211" i="3"/>
  <c r="E396"/>
  <c r="E183" i="18" s="1"/>
  <c r="E209" i="3"/>
  <c r="E104" i="18"/>
  <c r="E135" i="3"/>
  <c r="E126"/>
  <c r="E91" i="18" s="1"/>
  <c r="E206" i="3"/>
  <c r="E505"/>
  <c r="E283" i="18" s="1"/>
  <c r="E140" i="3"/>
  <c r="E105" i="18" s="1"/>
  <c r="E405" i="3"/>
  <c r="E192" i="18" s="1"/>
  <c r="E214" i="3"/>
  <c r="E137"/>
  <c r="E102" i="18" s="1"/>
  <c r="E419" i="3"/>
  <c r="E204" i="18" s="1"/>
  <c r="E280" i="3"/>
  <c r="E506"/>
  <c r="E284" i="18" s="1"/>
  <c r="E141" i="3"/>
  <c r="E106" i="18" s="1"/>
  <c r="E469" i="3"/>
  <c r="E247" i="18" s="1"/>
  <c r="E260" i="3"/>
  <c r="E100" i="18"/>
  <c r="E133" i="3"/>
  <c r="E98" i="18" s="1"/>
  <c r="E541" i="3"/>
  <c r="E319" i="18" s="1"/>
  <c r="E181" i="3"/>
  <c r="E460"/>
  <c r="E238" i="18" s="1"/>
  <c r="E250" i="3"/>
  <c r="E126" i="18"/>
  <c r="E162" i="3"/>
  <c r="E124" i="18" s="1"/>
  <c r="E82"/>
  <c r="E119" i="3"/>
  <c r="E84" i="18" s="1"/>
  <c r="E138" i="3"/>
  <c r="E103" i="18" s="1"/>
  <c r="E521" i="3"/>
  <c r="E299" i="18" s="1"/>
  <c r="E183" i="3"/>
  <c r="E394"/>
  <c r="E181" i="18" s="1"/>
  <c r="E208" i="3"/>
  <c r="E150" i="18" s="1"/>
  <c r="E519" i="3"/>
  <c r="E297" i="18" s="1"/>
  <c r="E261" i="3"/>
  <c r="E403"/>
  <c r="E190" i="18" s="1"/>
  <c r="E212" i="3"/>
  <c r="E92"/>
  <c r="E70" i="18" s="1"/>
  <c r="E169" i="3"/>
  <c r="E123"/>
  <c r="E88" i="18" s="1"/>
  <c r="D2538" i="10"/>
  <c r="E182" i="3" s="1"/>
  <c r="E124"/>
  <c r="E89" i="18" s="1"/>
  <c r="E122" i="3"/>
  <c r="E87" i="18" s="1"/>
  <c r="E130"/>
  <c r="E167" i="3"/>
  <c r="E131" i="18" s="1"/>
  <c r="E404" i="3"/>
  <c r="E191" i="18" s="1"/>
  <c r="E213" i="3"/>
  <c r="E98"/>
  <c r="E408"/>
  <c r="E195" i="18" s="1"/>
  <c r="E215" i="3"/>
  <c r="E400"/>
  <c r="E187" i="18" s="1"/>
  <c r="E210" i="3"/>
  <c r="E423"/>
  <c r="E206" i="18" s="1"/>
  <c r="E300" i="3"/>
  <c r="E418"/>
  <c r="E203" i="18" s="1"/>
  <c r="E279" i="3"/>
  <c r="E508"/>
  <c r="E286" i="18" s="1"/>
  <c r="E143" i="3"/>
  <c r="E108" i="18" s="1"/>
  <c r="E207" i="3"/>
  <c r="E151" i="18" s="1"/>
  <c r="E94"/>
  <c r="E130" i="3"/>
  <c r="E95" i="18" s="1"/>
  <c r="E511" i="3"/>
  <c r="E289" i="18" s="1"/>
  <c r="E146" i="3"/>
  <c r="E414"/>
  <c r="E199" i="18" s="1"/>
  <c r="E275" i="3"/>
  <c r="E14" i="18"/>
  <c r="E20" i="3"/>
  <c r="E15" i="18" s="1"/>
  <c r="E66" i="3"/>
  <c r="E51" i="18" s="1"/>
  <c r="E64" i="3"/>
  <c r="E62"/>
  <c r="E46" i="18" s="1"/>
  <c r="E26"/>
  <c r="E36" i="3"/>
  <c r="E24" i="18" s="1"/>
  <c r="E65" i="3"/>
  <c r="E50" i="18" s="1"/>
  <c r="E27"/>
  <c r="E37" i="3"/>
  <c r="E25" i="18" s="1"/>
  <c r="E74" i="3"/>
  <c r="E49" i="18"/>
  <c r="E61" i="3"/>
  <c r="E63"/>
  <c r="E48" i="18" s="1"/>
  <c r="E42" i="3"/>
  <c r="E32" i="18" s="1"/>
  <c r="H2571" i="10"/>
  <c r="H2572" s="1"/>
  <c r="H2573" s="1"/>
  <c r="B2573" s="1"/>
  <c r="D2573" s="1"/>
  <c r="E184" i="3" s="1"/>
  <c r="H1268" i="10"/>
  <c r="H1269" s="1"/>
  <c r="H1270" s="1"/>
  <c r="B1270" s="1"/>
  <c r="D1270" s="1"/>
  <c r="E97" i="3" s="1"/>
  <c r="H2162" i="10"/>
  <c r="B2162" s="1"/>
  <c r="D2162" s="1"/>
  <c r="E157" i="3" s="1"/>
  <c r="E118" i="18" s="1"/>
  <c r="H574" i="10"/>
  <c r="H575" s="1"/>
  <c r="H576" s="1"/>
  <c r="B576" s="1"/>
  <c r="E45" i="3" s="1"/>
  <c r="E35" i="18" s="1"/>
  <c r="H1951" i="10"/>
  <c r="B1951" s="1"/>
  <c r="D1951" s="1"/>
  <c r="H849"/>
  <c r="H850" s="1"/>
  <c r="H851" s="1"/>
  <c r="B851" s="1"/>
  <c r="E67" i="3" s="1"/>
  <c r="E52" i="18" s="1"/>
  <c r="H2586" i="10"/>
  <c r="H2587" s="1"/>
  <c r="H2588" s="1"/>
  <c r="B2588" s="1"/>
  <c r="D2588" s="1"/>
  <c r="E185" i="3" s="1"/>
  <c r="H329" i="19"/>
  <c r="H330" s="1"/>
  <c r="H331" s="1"/>
  <c r="B331" s="1"/>
  <c r="D331" s="1"/>
  <c r="E524" i="3" s="1"/>
  <c r="E302" i="18" s="1"/>
  <c r="H2692" i="10"/>
  <c r="H2693" s="1"/>
  <c r="H2694" s="1"/>
  <c r="B2694" s="1"/>
  <c r="E192" i="3" s="1"/>
  <c r="H3340" i="10"/>
  <c r="H3343" s="1"/>
  <c r="H3344" s="1"/>
  <c r="H3345" s="1"/>
  <c r="B3345" s="1"/>
  <c r="D3345" s="1"/>
  <c r="E246" i="3" s="1"/>
  <c r="E178" i="18" s="1"/>
  <c r="H615" i="10"/>
  <c r="H616" s="1"/>
  <c r="H617" s="1"/>
  <c r="B617" s="1"/>
  <c r="E50" i="3" s="1"/>
  <c r="E37" i="18" s="1"/>
  <c r="H591" i="10"/>
  <c r="H592" s="1"/>
  <c r="H593" s="1"/>
  <c r="B593" s="1"/>
  <c r="E46" i="3" s="1"/>
  <c r="H941" i="10"/>
  <c r="H942" s="1"/>
  <c r="H943" s="1"/>
  <c r="B943" s="1"/>
  <c r="E71" i="3" s="1"/>
  <c r="H875" i="10"/>
  <c r="H876" s="1"/>
  <c r="H877" s="1"/>
  <c r="B877" s="1"/>
  <c r="E68" i="3" s="1"/>
  <c r="E53" i="18" s="1"/>
  <c r="H920" i="10"/>
  <c r="H921" s="1"/>
  <c r="H922" s="1"/>
  <c r="B922" s="1"/>
  <c r="E70" i="3" s="1"/>
  <c r="E55" i="18" s="1"/>
  <c r="E56" s="1"/>
  <c r="E520" i="3"/>
  <c r="E298" i="18" s="1"/>
  <c r="H4462" i="10"/>
  <c r="H4463" s="1"/>
  <c r="H4464" s="1"/>
  <c r="H4465" s="1"/>
  <c r="B4465" s="1"/>
  <c r="D4465" s="1"/>
  <c r="H4322"/>
  <c r="H4323" s="1"/>
  <c r="B4323" s="1"/>
  <c r="D4323" s="1"/>
  <c r="E335" i="3" s="1"/>
  <c r="H4037" i="10"/>
  <c r="H4038" s="1"/>
  <c r="H4039" s="1"/>
  <c r="H4040" s="1"/>
  <c r="B4040" s="1"/>
  <c r="E307" i="3" s="1"/>
  <c r="H1202" i="10"/>
  <c r="H1203" s="1"/>
  <c r="H1204" s="1"/>
  <c r="B1204" s="1"/>
  <c r="D1204" s="1"/>
  <c r="E91" i="3" s="1"/>
  <c r="E69" i="18" s="1"/>
  <c r="H3658" i="10"/>
  <c r="B3658" s="1"/>
  <c r="D3658" s="1"/>
  <c r="H1621"/>
  <c r="H1622" s="1"/>
  <c r="H1623" s="1"/>
  <c r="B1623" s="1"/>
  <c r="D1623" s="1"/>
  <c r="H300"/>
  <c r="H1436"/>
  <c r="H1437" s="1"/>
  <c r="B1437" s="1"/>
  <c r="D1437" s="1"/>
  <c r="H3380"/>
  <c r="H3382" s="1"/>
  <c r="H3383" s="1"/>
  <c r="H3384" s="1"/>
  <c r="B3384" s="1"/>
  <c r="D3384" s="1"/>
  <c r="E249" i="3" s="1"/>
  <c r="H3369" i="10"/>
  <c r="H3370" s="1"/>
  <c r="B3370" s="1"/>
  <c r="D3370" s="1"/>
  <c r="E248" i="3" s="1"/>
  <c r="H1234" i="10"/>
  <c r="H1329"/>
  <c r="H1330" s="1"/>
  <c r="B1254"/>
  <c r="D1254" s="1"/>
  <c r="E95" i="3" s="1"/>
  <c r="B1251" i="10"/>
  <c r="D1251" s="1"/>
  <c r="E96" i="3" s="1"/>
  <c r="B252" i="10"/>
  <c r="A255"/>
  <c r="A266" s="1"/>
  <c r="A277" s="1"/>
  <c r="A287" s="1"/>
  <c r="A314" s="1"/>
  <c r="A332" s="1"/>
  <c r="A357" s="1"/>
  <c r="B1357"/>
  <c r="D1357" s="1"/>
  <c r="E104" i="3" s="1"/>
  <c r="B1360" i="10"/>
  <c r="D1360" s="1"/>
  <c r="E105" i="3" s="1"/>
  <c r="F3980" i="10"/>
  <c r="G3980" s="1"/>
  <c r="H3980" s="1"/>
  <c r="H3985" s="1"/>
  <c r="H3986" s="1"/>
  <c r="H3987" s="1"/>
  <c r="B3987" s="1"/>
  <c r="D3987" s="1"/>
  <c r="G3966"/>
  <c r="H3966" s="1"/>
  <c r="H3969" s="1"/>
  <c r="H3970" s="1"/>
  <c r="H3971" s="1"/>
  <c r="B3971" s="1"/>
  <c r="D3971" s="1"/>
  <c r="H3957"/>
  <c r="H3958" s="1"/>
  <c r="B3958" s="1"/>
  <c r="D3958" s="1"/>
  <c r="H677"/>
  <c r="H678" s="1"/>
  <c r="B678" s="1"/>
  <c r="E54" i="3" s="1"/>
  <c r="E41" i="18" s="1"/>
  <c r="H453" i="10"/>
  <c r="H454" s="1"/>
  <c r="B454" s="1"/>
  <c r="E39" i="3" s="1"/>
  <c r="E29" i="18" s="1"/>
  <c r="H494" i="10"/>
  <c r="H495" s="1"/>
  <c r="B495" s="1"/>
  <c r="E41" i="3" s="1"/>
  <c r="E31" i="18" s="1"/>
  <c r="H693" i="10"/>
  <c r="H694" s="1"/>
  <c r="H4280"/>
  <c r="H4281" s="1"/>
  <c r="B4281" s="1"/>
  <c r="D4281" s="1"/>
  <c r="H4482"/>
  <c r="H4483" s="1"/>
  <c r="B4483" s="1"/>
  <c r="D4483" s="1"/>
  <c r="B1376" l="1"/>
  <c r="D1376" s="1"/>
  <c r="E106" i="3" s="1"/>
  <c r="E223" i="18"/>
  <c r="E470" i="3"/>
  <c r="E248" i="18" s="1"/>
  <c r="E332" i="3"/>
  <c r="E515"/>
  <c r="E293" i="18" s="1"/>
  <c r="E348" i="3"/>
  <c r="E514"/>
  <c r="E292" i="18" s="1"/>
  <c r="E347" i="3"/>
  <c r="E542"/>
  <c r="E320" i="18" s="1"/>
  <c r="E477" i="3"/>
  <c r="E255" i="18" s="1"/>
  <c r="E301" i="3"/>
  <c r="E479"/>
  <c r="E257" i="18" s="1"/>
  <c r="E303" i="3"/>
  <c r="E490"/>
  <c r="E268" i="18" s="1"/>
  <c r="E272" i="3"/>
  <c r="E509"/>
  <c r="E287" i="18" s="1"/>
  <c r="E144" i="3"/>
  <c r="E109" i="18" s="1"/>
  <c r="E478" i="3"/>
  <c r="E256" i="18" s="1"/>
  <c r="E302" i="3"/>
  <c r="E473"/>
  <c r="E251" i="18" s="1"/>
  <c r="E111" i="3"/>
  <c r="E125"/>
  <c r="E90" i="18" s="1"/>
  <c r="E18"/>
  <c r="E26" i="3"/>
  <c r="H301" i="10"/>
  <c r="H302" s="1"/>
  <c r="B302" s="1"/>
  <c r="E32" i="3" s="1"/>
  <c r="E20" i="18" s="1"/>
  <c r="B1233" i="10"/>
  <c r="D1233" s="1"/>
  <c r="B1236"/>
  <c r="D1236" s="1"/>
  <c r="E93" i="3" s="1"/>
  <c r="B1332" i="10"/>
  <c r="D1332" s="1"/>
  <c r="E103" i="3" s="1"/>
  <c r="E80" i="18" s="1"/>
  <c r="B1329" i="10"/>
  <c r="D1329" s="1"/>
  <c r="E102" i="3" s="1"/>
  <c r="E79" i="18" s="1"/>
  <c r="B694" i="10"/>
  <c r="D694" s="1"/>
  <c r="A374"/>
  <c r="A399" s="1"/>
  <c r="A416" s="1"/>
  <c r="A439" s="1"/>
  <c r="A456" s="1"/>
  <c r="A480" s="1"/>
  <c r="A497" s="1"/>
  <c r="A522" s="1"/>
  <c r="A539" s="1"/>
  <c r="E71" i="18" l="1"/>
  <c r="E94" i="3"/>
  <c r="E45" i="18"/>
  <c r="E55" i="3"/>
  <c r="E42" i="18" s="1"/>
  <c r="A559" i="10"/>
  <c r="A578" s="1"/>
  <c r="A604" s="1"/>
  <c r="A621" s="1"/>
  <c r="A637" s="1"/>
  <c r="A653" s="1"/>
  <c r="A666" s="1"/>
  <c r="A682" l="1"/>
  <c r="A699" s="1"/>
  <c r="A709" l="1"/>
  <c r="A725" s="1"/>
  <c r="A740" s="1"/>
  <c r="A756" s="1"/>
  <c r="A778" s="1"/>
  <c r="A795" s="1"/>
  <c r="A818" s="1"/>
  <c r="A833" l="1"/>
  <c r="A859" s="1"/>
  <c r="A879" l="1"/>
  <c r="A904" s="1"/>
  <c r="A924" s="1"/>
  <c r="A951" s="1"/>
  <c r="A962" s="1"/>
  <c r="A982" s="1"/>
  <c r="A995" s="1"/>
  <c r="A1010" s="1"/>
  <c r="A1029" s="1"/>
  <c r="A1051" l="1"/>
  <c r="A1073" s="1"/>
  <c r="A1088" s="1"/>
  <c r="A1116" s="1"/>
  <c r="A1137" s="1"/>
  <c r="A1163" s="1"/>
  <c r="A1177" s="1"/>
  <c r="A1193" s="1"/>
  <c r="A1210" s="1"/>
  <c r="A1225" s="1"/>
  <c r="A1243" s="1"/>
  <c r="A1259" s="1"/>
  <c r="A1273" s="1"/>
  <c r="A1289" s="1"/>
  <c r="A1305" s="1"/>
  <c r="A1321" l="1"/>
  <c r="A1345" s="1"/>
  <c r="A1364" s="1"/>
  <c r="A1384" s="1"/>
  <c r="A1398" l="1"/>
  <c r="A1412" s="1"/>
  <c r="A1425" l="1"/>
  <c r="A1442" s="1"/>
  <c r="A1454" l="1"/>
  <c r="A1471" l="1"/>
  <c r="A1485" s="1"/>
  <c r="A1497" l="1"/>
  <c r="A1512" s="1"/>
  <c r="A1527" s="1"/>
  <c r="A1544" s="1"/>
  <c r="A1568" s="1"/>
  <c r="A1587" l="1"/>
  <c r="A1609" s="1"/>
  <c r="A1627" s="1"/>
  <c r="A1652" s="1"/>
  <c r="A1670" s="1"/>
  <c r="A1688" s="1"/>
  <c r="A1706" s="1"/>
  <c r="A1719" s="1"/>
  <c r="A1734" l="1"/>
  <c r="A1749" l="1"/>
  <c r="A1761" s="1"/>
  <c r="A1775" s="1"/>
  <c r="A1791" s="1"/>
  <c r="A1806" s="1"/>
  <c r="A1824" s="1"/>
  <c r="A1841" s="1"/>
  <c r="A1852" l="1"/>
  <c r="A1876" s="1"/>
  <c r="A1895" s="1"/>
  <c r="A1920" l="1"/>
  <c r="A1937" s="1"/>
  <c r="A1958" s="1"/>
  <c r="A1975" s="1"/>
  <c r="A1995" s="1"/>
  <c r="A2010" s="1"/>
  <c r="A573" i="19" l="1"/>
  <c r="A586" s="1"/>
  <c r="A599" s="1"/>
  <c r="A611" s="1"/>
  <c r="A623" s="1"/>
  <c r="A636" s="1"/>
  <c r="A231" s="1"/>
  <c r="A245" s="1"/>
  <c r="A2023" i="10"/>
  <c r="A2040" l="1"/>
  <c r="A2057" s="1"/>
  <c r="A2073" s="1"/>
  <c r="A2101" s="1"/>
  <c r="A2121" s="1"/>
  <c r="A2146" s="1"/>
  <c r="A2167" l="1"/>
  <c r="A2182" s="1"/>
  <c r="A2199" s="1"/>
  <c r="A2212" s="1"/>
  <c r="A2225" l="1"/>
  <c r="A2240" s="1"/>
  <c r="A2259" s="1"/>
  <c r="A2275" s="1"/>
  <c r="A2291" l="1"/>
  <c r="A2304" s="1"/>
  <c r="A2319" s="1"/>
  <c r="A2334" s="1"/>
  <c r="A2347" s="1"/>
  <c r="A2365" s="1"/>
  <c r="A2380" s="1"/>
  <c r="A2393" s="1"/>
  <c r="A2407" s="1"/>
  <c r="A2424" l="1"/>
  <c r="A2436" s="1"/>
  <c r="A2452" s="1"/>
  <c r="A2469" s="1"/>
  <c r="A2481" s="1"/>
  <c r="A204" i="19" s="1"/>
  <c r="A217" s="1"/>
  <c r="A2497" i="10" l="1"/>
  <c r="A2515" l="1"/>
  <c r="A2528" s="1"/>
  <c r="A2542" s="1"/>
  <c r="A299" i="19" s="1"/>
  <c r="A310" s="1"/>
  <c r="A322" s="1"/>
  <c r="A338" s="1"/>
  <c r="A352" s="1"/>
  <c r="A362" s="1"/>
  <c r="A2563" i="10" l="1"/>
  <c r="A2577" s="1"/>
  <c r="A2591" s="1"/>
  <c r="A2602" s="1"/>
  <c r="A2622" s="1"/>
  <c r="A2643" s="1"/>
  <c r="A2656" s="1"/>
  <c r="A2666" s="1"/>
  <c r="A2682" s="1"/>
  <c r="A2700" s="1"/>
  <c r="A2712" s="1"/>
  <c r="A2727" s="1"/>
  <c r="A2743" s="1"/>
  <c r="A2755" s="1"/>
  <c r="A2770" l="1"/>
  <c r="A2786" s="1"/>
  <c r="A2797" s="1"/>
  <c r="A2813" s="1"/>
  <c r="A2829" s="1"/>
  <c r="A2843" s="1"/>
  <c r="A2859" l="1"/>
  <c r="A2875" s="1"/>
  <c r="A2888" s="1"/>
  <c r="A2903" s="1"/>
  <c r="A2918" s="1"/>
  <c r="A2931" s="1"/>
  <c r="A2945" s="1"/>
  <c r="A2962" s="1"/>
  <c r="A2975" l="1"/>
  <c r="A2988" s="1"/>
  <c r="A97" i="19" s="1"/>
  <c r="A110" s="1"/>
  <c r="A123" s="1"/>
  <c r="A136" s="1"/>
  <c r="A149" s="1"/>
  <c r="A162" s="1"/>
  <c r="A2997" i="10" l="1"/>
  <c r="A3008" s="1"/>
  <c r="A3020" s="1"/>
  <c r="A3035" s="1"/>
  <c r="A3049" s="1"/>
  <c r="A3061" s="1"/>
  <c r="A3075" s="1"/>
  <c r="A3090" s="1"/>
  <c r="A3103" s="1"/>
  <c r="A3117" s="1"/>
  <c r="A3133" s="1"/>
  <c r="A3145" s="1"/>
  <c r="A3159" s="1"/>
  <c r="A3175" s="1"/>
  <c r="A3187" s="1"/>
  <c r="A3199" s="1"/>
  <c r="A3214" s="1"/>
  <c r="A3227" s="1"/>
  <c r="A3243" l="1"/>
  <c r="A3257" l="1"/>
  <c r="A3269" s="1"/>
  <c r="A3281" s="1"/>
  <c r="A3296" s="1"/>
  <c r="A3308" s="1"/>
  <c r="A3321" s="1"/>
  <c r="A3336" s="1"/>
  <c r="A3348" s="1"/>
  <c r="A3362" s="1"/>
  <c r="A3376" s="1"/>
  <c r="A3387" s="1"/>
  <c r="A3403" s="1"/>
  <c r="A3419" l="1"/>
  <c r="A3432" l="1"/>
  <c r="A3445" s="1"/>
  <c r="A3460" s="1"/>
  <c r="A3473" s="1"/>
  <c r="A3487" s="1"/>
  <c r="A3504" s="1"/>
  <c r="A3518" s="1"/>
  <c r="A3531" s="1"/>
  <c r="A3547" l="1"/>
  <c r="A3561" l="1"/>
  <c r="A278" i="19"/>
  <c r="A3573" i="10"/>
  <c r="A3583" s="1"/>
  <c r="A3596" s="1"/>
  <c r="A3606" s="1"/>
  <c r="A373" i="19" s="1"/>
  <c r="A384" s="1"/>
  <c r="A395" s="1"/>
  <c r="A405" s="1"/>
  <c r="A415" s="1"/>
  <c r="A3618" i="10" l="1"/>
  <c r="A3631" l="1"/>
  <c r="A3646" s="1"/>
  <c r="A177" i="19" s="1"/>
  <c r="A3664" i="10" l="1"/>
  <c r="A3680" s="1"/>
  <c r="A3694" s="1"/>
  <c r="A3709" s="1"/>
  <c r="A3723" s="1"/>
  <c r="A3735" s="1"/>
  <c r="A3751" s="1"/>
  <c r="A3768" s="1"/>
  <c r="A3782" l="1"/>
  <c r="A3796" s="1"/>
  <c r="A3808" s="1"/>
  <c r="A3820" l="1"/>
  <c r="A3830" s="1"/>
  <c r="A3841" s="1"/>
  <c r="A3852" s="1"/>
  <c r="A3865" s="1"/>
  <c r="A3875" s="1"/>
  <c r="A3886" s="1"/>
  <c r="A3898" s="1"/>
  <c r="A3909" l="1"/>
  <c r="A3920" s="1"/>
  <c r="A3931" s="1"/>
  <c r="A3948" s="1"/>
  <c r="A3961" s="1"/>
  <c r="A3975" s="1"/>
  <c r="A3993" l="1"/>
  <c r="A4005" s="1"/>
  <c r="A4018" s="1"/>
  <c r="A4031" s="1"/>
  <c r="A4043" s="1"/>
  <c r="A4055" s="1"/>
  <c r="A4067" s="1"/>
  <c r="A4077" s="1"/>
  <c r="A4086" s="1"/>
  <c r="A4096" s="1"/>
  <c r="A4109" s="1"/>
  <c r="A4120" s="1"/>
  <c r="A4131" s="1"/>
  <c r="A4145" s="1"/>
  <c r="A4162" l="1"/>
  <c r="A4175" s="1"/>
  <c r="A4187" s="1"/>
  <c r="A4199" l="1"/>
  <c r="A4210" s="1"/>
  <c r="A4221" s="1"/>
  <c r="A4235" s="1"/>
  <c r="A4250" l="1"/>
  <c r="A4265" l="1"/>
  <c r="A4284" s="1"/>
  <c r="A4303" s="1"/>
  <c r="A30" i="19"/>
  <c r="A44" s="1"/>
  <c r="A62" s="1"/>
  <c r="A264" l="1"/>
  <c r="A4312" i="10"/>
  <c r="A4328" s="1"/>
  <c r="A4343" s="1"/>
  <c r="A4355" s="1"/>
  <c r="A4370" l="1"/>
  <c r="A4384" s="1"/>
  <c r="A4400" s="1"/>
  <c r="A4415" s="1"/>
  <c r="A4429" s="1"/>
  <c r="A4451" s="1"/>
  <c r="A4469" s="1"/>
  <c r="A4486" s="1"/>
  <c r="A4499" s="1"/>
  <c r="A4511" s="1"/>
  <c r="A4522" s="1"/>
  <c r="A4533" s="1"/>
  <c r="A4544" s="1"/>
  <c r="A4555" s="1"/>
  <c r="A4565" s="1"/>
  <c r="A4578" s="1"/>
  <c r="A4591" s="1"/>
  <c r="A4604" s="1"/>
  <c r="A4616" s="1"/>
  <c r="A4627" s="1"/>
  <c r="A4638" s="1"/>
  <c r="A4649" s="1"/>
  <c r="A4661" s="1"/>
  <c r="A4673" s="1"/>
  <c r="A4685" s="1"/>
  <c r="A4695" l="1"/>
  <c r="A4705" s="1"/>
  <c r="A4717" s="1"/>
  <c r="A4730" s="1"/>
  <c r="A4741" s="1"/>
  <c r="A4754" s="1"/>
  <c r="A4765" s="1"/>
  <c r="A4776" s="1"/>
  <c r="A4787" s="1"/>
  <c r="A4797" s="1"/>
  <c r="A4807" s="1"/>
  <c r="A4824" s="1"/>
  <c r="A3" i="19"/>
  <c r="H2444" i="10"/>
  <c r="H2445" s="1"/>
  <c r="H2446" s="1"/>
  <c r="H2447" s="1"/>
  <c r="B2447" s="1"/>
  <c r="D2447" s="1"/>
  <c r="E176" i="3" s="1"/>
  <c r="A443" i="19" l="1"/>
  <c r="A460" s="1"/>
  <c r="A492" s="1"/>
  <c r="A509" s="1"/>
  <c r="A541" s="1"/>
  <c r="A558" s="1"/>
  <c r="A663" s="1"/>
  <c r="A680" s="1"/>
  <c r="A697" s="1"/>
</calcChain>
</file>

<file path=xl/sharedStrings.xml><?xml version="1.0" encoding="utf-8"?>
<sst xmlns="http://schemas.openxmlformats.org/spreadsheetml/2006/main" count="18409" uniqueCount="4679">
  <si>
    <t>&amp; dL=dL= kmnfd] 808Lsf] hfnL agfO{ km]lG;Ë ug]{ sfd =======================================================================</t>
  </si>
  <si>
    <t>sfo{ ;d"x …`Ú M– Knfi6/sf] sfd</t>
  </si>
  <si>
    <t>sfo{ ;d"x …6Ú M– /+u /f]ugsf] sfd</t>
  </si>
  <si>
    <t>k]h g+=</t>
  </si>
  <si>
    <t xml:space="preserve">Ps </t>
  </si>
  <si>
    <t>r]K6f] 9'Ëdf 5fk]sf]df l;d]G6 afn'jf -!M#_ l6Ksf/ ug]{ sfd =======================================================================</t>
  </si>
  <si>
    <t>t]lnof O{6f 5fk]sf]df l;d]G6 afn'jf -!M!_ l6Ksf/ ug]{ sfd =======================================================================</t>
  </si>
  <si>
    <t>Carbon Fibre UPVC Roofing Sheet including the cost of material and labour  fitting, fixing, all complete job (3mm Thick)</t>
  </si>
  <si>
    <t>3mm th.Carbon fibre UPVC Roofing sheet</t>
  </si>
  <si>
    <t>Carbon Fibre UPVC Roofing Sheet including the cost of material and labour  fitting, fixing, all complete job (2mm Thick)</t>
  </si>
  <si>
    <t>2mm th.Carbon fibre UPVC Roofing sheet</t>
  </si>
  <si>
    <r>
      <t xml:space="preserve"> dfj{n #) </t>
    </r>
    <r>
      <rPr>
        <sz val="14"/>
        <rFont val="Arial"/>
        <family val="2"/>
      </rPr>
      <t>x</t>
    </r>
    <r>
      <rPr>
        <sz val="14"/>
        <rFont val="Preeti"/>
      </rPr>
      <t xml:space="preserve"> #) ;]=ld=;fO{h</t>
    </r>
    <r>
      <rPr>
        <sz val="14"/>
        <rFont val="Arial"/>
        <family val="2"/>
      </rPr>
      <t>(classic)</t>
    </r>
  </si>
  <si>
    <r>
      <t>Classic</t>
    </r>
    <r>
      <rPr>
        <sz val="16"/>
        <rFont val="Preeti"/>
      </rPr>
      <t xml:space="preserve"> dfj{n  -</t>
    </r>
    <r>
      <rPr>
        <i/>
        <sz val="16"/>
        <rFont val="Preeti"/>
      </rPr>
      <t>#</t>
    </r>
    <r>
      <rPr>
        <sz val="16"/>
        <rFont val="Preeti"/>
      </rPr>
      <t xml:space="preserve">)) </t>
    </r>
    <r>
      <rPr>
        <sz val="10"/>
        <rFont val="Arial"/>
        <family val="2"/>
      </rPr>
      <t>X</t>
    </r>
    <r>
      <rPr>
        <sz val="16"/>
        <rFont val="Preeti"/>
      </rPr>
      <t xml:space="preserve"> #)) dL=dL=_ </t>
    </r>
  </si>
  <si>
    <r>
      <t>Classic</t>
    </r>
    <r>
      <rPr>
        <sz val="13"/>
        <rFont val="Preeti"/>
      </rPr>
      <t xml:space="preserve"> dfj{n</t>
    </r>
  </si>
  <si>
    <r>
      <t>Classic</t>
    </r>
    <r>
      <rPr>
        <sz val="14"/>
        <rFont val="Preeti"/>
      </rPr>
      <t xml:space="preserve"> dfj{n -</t>
    </r>
    <r>
      <rPr>
        <i/>
        <sz val="14"/>
        <rFont val="Preeti"/>
      </rPr>
      <t>#</t>
    </r>
    <r>
      <rPr>
        <sz val="14"/>
        <rFont val="Preeti"/>
      </rPr>
      <t xml:space="preserve">)) </t>
    </r>
    <r>
      <rPr>
        <sz val="10"/>
        <rFont val="Arial"/>
        <family val="2"/>
      </rPr>
      <t>X</t>
    </r>
    <r>
      <rPr>
        <sz val="14"/>
        <rFont val="Preeti"/>
      </rPr>
      <t xml:space="preserve"> #)) dL=dL=_ ] !M@ efusf] l;d]G6 d;nfdf 5fkL 3f]6\g] / kflnz ;d]t ug]{ . =============================================</t>
    </r>
  </si>
  <si>
    <t>Ruled pointing work in  (1:1) cement sand mortar on boulder stone work.</t>
  </si>
  <si>
    <t>Ruled pointing work in  (1:2) cement sand mortar on boulder stone work with good finish including curing as per instruciton all complete.</t>
  </si>
  <si>
    <t>Ruled pointing work in  (1:2) cement sand mortar on boulder stone work with.</t>
  </si>
  <si>
    <t>Ruled pointing work in  (1:3) cement sand mortar on boulder stone work with good finish including curing as per instruciton all complete.</t>
  </si>
  <si>
    <t>c:t/ jfx]s Pssf]6 tof/L Ogfd]n k]G6 ug]{ sfd .</t>
  </si>
  <si>
    <t>c:t/ jfx]s Ps sf]6 cfNd'lgod k]G6 ug]{ sfd .</t>
  </si>
  <si>
    <t>! Jff]/f dfj{n lrK; j/fj/ !=) 3=lkm= dfg]sf] .</t>
  </si>
  <si>
    <t>b/ ljZn]if0fsf] nflu !) 3=dL= lnOPsf]</t>
  </si>
  <si>
    <t>ljleGg ;fO{hsf]] cfO{ ljdx?</t>
  </si>
  <si>
    <t xml:space="preserve">Supply and fixing of 75X100mm Sisam wood handrail including fittings as per drawing and instructions all complete </t>
  </si>
  <si>
    <t>Supplying and fitting of railing with 20mm X 20mm M.S. square pipe and 75mm X 100mm Sal/Sisam handrail with brass cap including welding, joints and primer painting as per drawing and instructions all complete</t>
  </si>
  <si>
    <t>Supplying and fitting of railing with 20mm X 20mm M.S. square pipe and 75mm X 100mm Sal/Sisam handrail .</t>
  </si>
  <si>
    <t>Supplying and fitting of railing with 20mm X 20mm M.S. squire pipe and 40mm black pipe  handrail including welding, joints and primer painting as per drawing and instructions all complete</t>
  </si>
  <si>
    <t>20mm X 20mm M.S. squire pipe and 40mm black pipe  handrail including welding, joints and primer painting.</t>
  </si>
  <si>
    <t>1 coats of white washing without primer Painting over old Surkhey plastered surface surface all complete</t>
  </si>
  <si>
    <t>1 coats Ramtilak paint over porperly cleaned outer surface of old Durbar wall surface all complete</t>
  </si>
  <si>
    <t>1. coats Ramtilak paint over porperly cleaned outer surface of old Durbar wall surface all complete</t>
  </si>
  <si>
    <t>1 coats of ready made enamel paint of approved colour without primer Painting over porperly sanded surface all complete</t>
  </si>
  <si>
    <t>1 coats of ready made enamel paint of approved colour without primer Painting over porperly sanded surface.</t>
  </si>
  <si>
    <t>2 coats of ready made enamel paint without primer Painting over porperly sanded surface all complete</t>
  </si>
  <si>
    <t>2 coats of ready made enamel paint of approved colour without primer Painting over porperly sanded surface.</t>
  </si>
  <si>
    <t>1 coats of Plastic emulsion paint of approved colour without primer Painting over porperly cleaned surface all complete</t>
  </si>
  <si>
    <t>1 coats of Plastic emulsion paint of approved colour without primer Painting over porperly cleaned surface .</t>
  </si>
  <si>
    <t>2 coats of Plastic emulsion paint of approved colour without primer Painting over porperly cleaned surface all complete</t>
  </si>
  <si>
    <t>2 coats of Plastic emulsion paint of approved colour without primer Painting over porperly cleaned surface.</t>
  </si>
  <si>
    <t>1 coat almunium paint without primer Painting over porperly cleaned surface all complete</t>
  </si>
  <si>
    <t>Machine made  Brickwork in 1:3 C/S mortar in superstructure.</t>
  </si>
  <si>
    <t xml:space="preserve">Machine made  Brickwork in 1:4 C/S mortar up to ground floor in perfect line level finish including wetting the bricks, racking the joints and curing the work for at least 7 days all complete. </t>
  </si>
  <si>
    <t>Fixing /laying 140 mm dia Plastic Water Gutter pipe ( Half Round) with necessary fittings  all complete.</t>
  </si>
  <si>
    <t xml:space="preserve">140 mm dia Plastic Water Gutter pipe ( Half Round) with necessary fittings. </t>
  </si>
  <si>
    <t>180 mm dia Plastic Water Gutter pipe ( Half Round)  with necessary fittings.</t>
  </si>
  <si>
    <r>
      <t xml:space="preserve">x\of08/]n </t>
    </r>
    <r>
      <rPr>
        <sz val="13"/>
        <color indexed="10"/>
        <rFont val="Preeti"/>
      </rPr>
      <t>Pj+</t>
    </r>
  </si>
  <si>
    <r>
      <t>/ kf]i6</t>
    </r>
    <r>
      <rPr>
        <sz val="12"/>
        <color indexed="10"/>
        <rFont val="Preeti"/>
      </rPr>
      <t xml:space="preserve"> </t>
    </r>
    <r>
      <rPr>
        <sz val="13"/>
        <color indexed="10"/>
        <rFont val="Preeti"/>
      </rPr>
      <t>;d]t</t>
    </r>
  </si>
  <si>
    <t xml:space="preserve">Machine made  Brickwork in 1:6 C/S mortar in superstructure in perfect line level finish including wetting the bricks, racking the joints and curing the work for at least 7 days all complete. </t>
  </si>
  <si>
    <t xml:space="preserve">Machine made  Brickwork in 1:6 C/S mortar in superstructure. </t>
  </si>
  <si>
    <t>2 Pole MCB Box</t>
  </si>
  <si>
    <t>Dome Light 6" Milky Type Heavy Carrier(decorative)</t>
  </si>
  <si>
    <t>Dome Light 6" Brace Base</t>
  </si>
  <si>
    <t>Dome Light 8" Milky Type Heavy Carrier</t>
  </si>
  <si>
    <t>Dinning Lamp Decorative Medium</t>
  </si>
  <si>
    <t>Chandlers Lamp 3-5 Lamp Medium</t>
  </si>
  <si>
    <t>Chandlers Lamp 6-8 Lamp Medium</t>
  </si>
  <si>
    <t>15-100 Watt Bulb (ISI)</t>
  </si>
  <si>
    <t>Festival Light</t>
  </si>
  <si>
    <t>4 way Indicator With Bell</t>
  </si>
  <si>
    <t>6 way Indicator With Bell</t>
  </si>
  <si>
    <t>3/22 PVC Coper Wire Nepal, Prakash etc.</t>
  </si>
  <si>
    <r>
      <t>#</t>
    </r>
    <r>
      <rPr>
        <sz val="14"/>
        <color indexed="10"/>
        <rFont val="Preeti"/>
      </rPr>
      <t>÷</t>
    </r>
    <r>
      <rPr>
        <vertAlign val="subscript"/>
        <sz val="14"/>
        <color indexed="10"/>
        <rFont val="Preeti"/>
      </rPr>
      <t>$</t>
    </r>
    <r>
      <rPr>
        <sz val="10"/>
        <color indexed="10"/>
        <rFont val="Arial"/>
        <family val="2"/>
      </rPr>
      <t xml:space="preserve">" X </t>
    </r>
    <r>
      <rPr>
        <vertAlign val="superscript"/>
        <sz val="16"/>
        <color indexed="10"/>
        <rFont val="Preeti"/>
      </rPr>
      <t>#</t>
    </r>
    <r>
      <rPr>
        <sz val="16"/>
        <color indexed="10"/>
        <rFont val="Preeti"/>
      </rPr>
      <t>÷</t>
    </r>
    <r>
      <rPr>
        <vertAlign val="subscript"/>
        <sz val="16"/>
        <color indexed="10"/>
        <rFont val="Preeti"/>
      </rPr>
      <t>$</t>
    </r>
    <r>
      <rPr>
        <sz val="16"/>
        <color indexed="10"/>
        <rFont val="Preeti"/>
      </rPr>
      <t xml:space="preserve">Æ;fO{hsf] :Sjfo/ kfO{kaf6 @Ú–^Æ b]lv #Ú–)Æ ;Dd prfO{ ePsf] /]lnË jgfO{ </t>
    </r>
  </si>
  <si>
    <r>
      <t>#Æ</t>
    </r>
    <r>
      <rPr>
        <sz val="10"/>
        <color indexed="10"/>
        <rFont val="Arial"/>
        <family val="2"/>
      </rPr>
      <t>x</t>
    </r>
    <r>
      <rPr>
        <sz val="16"/>
        <color indexed="10"/>
        <rFont val="Preeti"/>
      </rPr>
      <t>$Æ ;fO{hsf] ;fn jf lzzf}sf] x\of08/]n agfO{ k|fOd/ k]G6 ;lxt h8fg ug]{ sfd .</t>
    </r>
  </si>
  <si>
    <r>
      <t>#</t>
    </r>
    <r>
      <rPr>
        <sz val="12"/>
        <color indexed="10"/>
        <rFont val="Preeti"/>
      </rPr>
      <t>÷</t>
    </r>
    <r>
      <rPr>
        <vertAlign val="subscript"/>
        <sz val="12"/>
        <color indexed="10"/>
        <rFont val="Preeti"/>
      </rPr>
      <t>$</t>
    </r>
    <r>
      <rPr>
        <sz val="12"/>
        <color indexed="10"/>
        <rFont val="Preeti"/>
      </rPr>
      <t xml:space="preserve">Æ </t>
    </r>
    <r>
      <rPr>
        <sz val="10"/>
        <color indexed="10"/>
        <rFont val="Arial"/>
        <family val="2"/>
      </rPr>
      <t>x</t>
    </r>
    <r>
      <rPr>
        <sz val="12"/>
        <color indexed="10"/>
        <rFont val="Preeti"/>
      </rPr>
      <t xml:space="preserve"> </t>
    </r>
    <r>
      <rPr>
        <vertAlign val="superscript"/>
        <sz val="12"/>
        <color indexed="10"/>
        <rFont val="Preeti"/>
      </rPr>
      <t>#</t>
    </r>
    <r>
      <rPr>
        <sz val="12"/>
        <color indexed="10"/>
        <rFont val="Preeti"/>
      </rPr>
      <t>÷</t>
    </r>
    <r>
      <rPr>
        <vertAlign val="subscript"/>
        <sz val="12"/>
        <color indexed="10"/>
        <rFont val="Preeti"/>
      </rPr>
      <t>$</t>
    </r>
    <r>
      <rPr>
        <vertAlign val="subscript"/>
        <sz val="16"/>
        <color indexed="10"/>
        <rFont val="Preeti"/>
      </rPr>
      <t>Æ</t>
    </r>
    <r>
      <rPr>
        <sz val="12"/>
        <color indexed="10"/>
        <rFont val="Preeti"/>
      </rPr>
      <t xml:space="preserve"> kmnfd]</t>
    </r>
  </si>
  <si>
    <t>Supplying and fixing Armstrong Mineral Board for suspended false ceiling with necessary frames and hooks all complete</t>
  </si>
  <si>
    <t>Elastocrete cementitious elastomeric water proofing coating 2 components capacity per kg. 6 sq.ft 2 coat including supply and applying all complete work</t>
  </si>
  <si>
    <t xml:space="preserve"> Supplying &amp; fixing of spiral staircase with 100mm  black pipe post, 20mm squire pipe railing , 32mm handrail, width of staircase 75cm including red oxide primer coat and necessary fittings</t>
  </si>
  <si>
    <t xml:space="preserve"> Supplying &amp; fixing of spiral staircase with 100mm  black pipe post, 20mm squire pipe railing , 32mm handrail, width of staircase 75cm .</t>
  </si>
  <si>
    <t>Annex-1</t>
  </si>
  <si>
    <t xml:space="preserve">Colouring with two coat white washing in new ceiling surface to give uniform colouring after rendering the surface all complete. </t>
  </si>
  <si>
    <t>Colouring with two coat white washing in new ceiling surface.</t>
  </si>
  <si>
    <t>Supplying and laying Sisam wood wall panelling on wall(with wood frame) polishing all complete(75mm*16mm) ………………………………………..</t>
  </si>
  <si>
    <t>Heritage Wall Surface Texture (Interior and Exterior) including the cost supplying and fitting (Heritage granular) …………………………………..</t>
  </si>
  <si>
    <t>Heritage Wall Surface Texture (Interior and Exterior) including the cost supplying and fitting (Heritage flakes) ……………………………………….</t>
  </si>
  <si>
    <t>Heritage Wall Surface Texture (Interior and Exterior) including the cost supplying and fitting (Heritage granite finishing) ………………………….</t>
  </si>
  <si>
    <t>Heritage Wall Surface Texture (Interior and Exterior) including the cost supplying and fitting (Heritage roller coat) ………………………………..</t>
  </si>
  <si>
    <t>Heritage Wall Surface Texture (Interior and Exterior) including the cost supplying and fitting (Heritage Top coat plastic lamination) ………………..</t>
  </si>
  <si>
    <t>Supply and errection of (50mm thick) aerocon/rapicon prefab panel in partition wall. All complete …………………………………………………..</t>
  </si>
  <si>
    <t>Supply and errection of (40mm thick) aerocon/rapicon prefab panel in partition wall. All complete ……………………………………………..</t>
  </si>
  <si>
    <t>Supply and fixing of (40mm thick)aerocon/rapicon prefab panel  cubical partition wall all complete…………………………………………………..</t>
  </si>
  <si>
    <t>Supplying and fixing 6 mm thick Flex-O- Board (Water proof cement board) for false ceiling all complete ………………………………………………</t>
  </si>
  <si>
    <t>25 mm thick C.C. Tile (Red color) paving in 1:4 cement mortar …………..</t>
  </si>
  <si>
    <t>25 mm thick C.C. Tile (Grey color) paving in 1:4 cement mortar …………….</t>
  </si>
  <si>
    <r>
      <t>ª_ @</t>
    </r>
    <r>
      <rPr>
        <vertAlign val="superscript"/>
        <sz val="14"/>
        <rFont val="Preeti"/>
      </rPr>
      <t>!</t>
    </r>
    <r>
      <rPr>
        <sz val="14"/>
        <rFont val="Preeti"/>
      </rPr>
      <t>÷</t>
    </r>
    <r>
      <rPr>
        <vertAlign val="subscript"/>
        <sz val="14"/>
        <rFont val="Preeti"/>
      </rPr>
      <t>@</t>
    </r>
    <r>
      <rPr>
        <sz val="14"/>
        <rFont val="Preeti"/>
      </rPr>
      <t xml:space="preserve">Æ – #Æ  ;Dd afSnf] 9'Ëf  ,,      ,,    </t>
    </r>
  </si>
  <si>
    <t>5HP Electric motor Pump monoblock ( crompton)</t>
  </si>
  <si>
    <t xml:space="preserve"> Porecelene clay toilet paper holder Recessed type american standard  with necessary accessories all complete.</t>
  </si>
  <si>
    <t>Porecelene clay toilet paper holder  Recessed type american standard with necessary accessories.</t>
  </si>
  <si>
    <t xml:space="preserve"> Porecelene clay toilet paper holder  Recessed type with necessary accessories all complete.</t>
  </si>
  <si>
    <t>cGbfh</t>
  </si>
  <si>
    <r>
      <t xml:space="preserve">c) 26 </t>
    </r>
    <r>
      <rPr>
        <sz val="14"/>
        <rFont val="Preeti"/>
      </rPr>
      <t>u]h</t>
    </r>
    <r>
      <rPr>
        <sz val="12"/>
        <rFont val="Times New Roman"/>
        <family val="1"/>
      </rPr>
      <t xml:space="preserve"> Heavy     </t>
    </r>
  </si>
  <si>
    <r>
      <t xml:space="preserve">$ lkm6 </t>
    </r>
    <r>
      <rPr>
        <b/>
        <sz val="14"/>
        <rFont val="Times New Roman"/>
        <family val="1"/>
      </rPr>
      <t xml:space="preserve">* </t>
    </r>
    <r>
      <rPr>
        <b/>
        <sz val="14"/>
        <rFont val="Preeti"/>
      </rPr>
      <t xml:space="preserve">* lkm6 sf] lh=cfO{= Kn]g l;6 </t>
    </r>
  </si>
  <si>
    <t xml:space="preserve">Rubble masonry work in inclined level in 1:3 C/S mortar in perfect line level finish including, racking the joints and curing the work for at least 7 days all complete. </t>
  </si>
  <si>
    <t>Supply and fixing 16/18 gauge M.S. Rolling shutter with all necessary accessories, all complete.</t>
  </si>
  <si>
    <t>Supply and fixing 16/18 gauge M.S. Rolling shutter.</t>
  </si>
  <si>
    <r>
      <t>xiv) Steel wire Rope (Right hand ordinary lay,WSC wire strand core,Tensile strength of wire 1570 N/mm</t>
    </r>
    <r>
      <rPr>
        <vertAlign val="superscript"/>
        <sz val="10"/>
        <rFont val="Arial"/>
        <family val="2"/>
      </rPr>
      <t>2</t>
    </r>
    <r>
      <rPr>
        <sz val="10"/>
        <rFont val="Arial"/>
        <family val="2"/>
      </rPr>
      <t>, Performed, 'A' Heavy Galvanized coating Nondrying lubrication oil and prestretched</t>
    </r>
  </si>
  <si>
    <r>
      <t>m</t>
    </r>
    <r>
      <rPr>
        <vertAlign val="superscript"/>
        <sz val="10"/>
        <rFont val="Arial"/>
        <family val="2"/>
      </rPr>
      <t>2</t>
    </r>
  </si>
  <si>
    <t>-a_ /ftf] df6f] -u]? /+u_</t>
  </si>
  <si>
    <t>-e_ rk|f kfln;</t>
  </si>
  <si>
    <t>-d_ tof/L jf;]jn l8:t]Dk/</t>
  </si>
  <si>
    <t>o_ tof/L Knfl:6S; OdN;g k]G6</t>
  </si>
  <si>
    <t>-j_ :yfgLo :k|L6</t>
  </si>
  <si>
    <t>-;_ df]ljsn÷km]ljsn</t>
  </si>
  <si>
    <t>-x_ u§f r'g -O{08Log_</t>
  </si>
  <si>
    <t>Ready made Premix Concrete</t>
  </si>
  <si>
    <t>M 15</t>
  </si>
  <si>
    <t>3= ld</t>
  </si>
  <si>
    <t>M 25</t>
  </si>
  <si>
    <t>M 30</t>
  </si>
  <si>
    <t>M 35</t>
  </si>
  <si>
    <t>M 40</t>
  </si>
  <si>
    <t>/Truck</t>
  </si>
  <si>
    <r>
      <t xml:space="preserve">ii) </t>
    </r>
    <r>
      <rPr>
        <sz val="14"/>
        <rFont val="Preeti"/>
      </rPr>
      <t xml:space="preserve">;8s sfnf]kq] ubf{ lj6'dLg gpKsLgsf] nfuL k|of]u ug]{ ;fdfg </t>
    </r>
    <r>
      <rPr>
        <sz val="12"/>
        <rFont val="Times New Roman"/>
        <family val="1"/>
      </rPr>
      <t>Anti stripping</t>
    </r>
  </si>
  <si>
    <t>Salwood for roofing, of first class finish free from cracks and wrought including hoisting and fitting with necessary nails, bolts nuts etc. to fix the false ceiling all complete work.</t>
  </si>
  <si>
    <t>Salwood for roofing.</t>
  </si>
  <si>
    <t xml:space="preserve"> Fitting of 25mm thick well seasoned salwood evesboard with necessary nails, screws, metal brackets etc as per drawing and instruction all complete.</t>
  </si>
  <si>
    <t>25mm thick well seasoned salwood evesboard.</t>
  </si>
  <si>
    <t xml:space="preserve">16-20 mm dia bar fixing in window chaukhat </t>
  </si>
  <si>
    <t>0.50mm Colour GI plain sheet for gutter on roofing including fixing in proper shape &amp; size with all necessary rails, screws, bolts &amp; nuts washers, J &amp; L hocks etc as per drawing &amp; instruction all complete.</t>
  </si>
  <si>
    <t>Making and fitting fixing Plywood Panel partition of 75 x 75 mm size sal wood frame with 12 mm thick commercial ply  on midle and 4mm thick teak ply lamination on both sides including all necessary hardware fitting all complete.</t>
  </si>
  <si>
    <t>Plywood panelled partition with 12mm.commercial plywood and both sides  teak ply lamination</t>
  </si>
  <si>
    <t>Making and fitting fixing of 12 x 12 mm,solid core squar rod Grill on the frame of 4.5 x 20 mm. M.S.plate with painting all complete.</t>
  </si>
  <si>
    <t>12x12mm.solid core square rod grill work.</t>
  </si>
  <si>
    <t>Making and fitting fixing of stainless steel pipe railling with 38mm.dia.stainless steel pipe handrail 2 row 25mm.dia.stainless steel pipe in between handrail and floor and 38mm.dia.stainless stell pipe for vertical post @ 2m. c/c including welding , cutt</t>
  </si>
  <si>
    <t>Stainless stell handrail work</t>
  </si>
  <si>
    <t>Additional items</t>
  </si>
  <si>
    <r>
      <t xml:space="preserve">b/ ljZn]if0fsf] nflu (=&amp;% </t>
    </r>
    <r>
      <rPr>
        <sz val="8"/>
        <rFont val="Arial"/>
        <family val="2"/>
      </rPr>
      <t>X</t>
    </r>
    <r>
      <rPr>
        <sz val="11"/>
        <rFont val="Preeti"/>
      </rPr>
      <t xml:space="preserve"> #=^% Ö #%=%* j=ld= lnOPsf]</t>
    </r>
  </si>
  <si>
    <r>
      <t xml:space="preserve">b/ ljZn]if0fsf] nflu !=)(@ </t>
    </r>
    <r>
      <rPr>
        <sz val="8"/>
        <rFont val="Arial"/>
        <family val="2"/>
      </rPr>
      <t xml:space="preserve">X </t>
    </r>
    <r>
      <rPr>
        <sz val="11"/>
        <rFont val="Preeti"/>
      </rPr>
      <t>@=)%* Ö @=@$% j=ld= lnOPsf]</t>
    </r>
  </si>
  <si>
    <t xml:space="preserve"> kmf]/dfO{sf n]ldg]zg u/L </t>
  </si>
  <si>
    <t xml:space="preserve"> ;gdfO{sf n]ldg]zg u/L </t>
  </si>
  <si>
    <t>b/ k|lt s]]=hL=sf]</t>
  </si>
  <si>
    <t>!#–% v,u</t>
  </si>
  <si>
    <t>!@=% dL=dL= afSnf] l;d]G6 afn'jf -!M^_ df  sfd ug]{ .</t>
  </si>
  <si>
    <t>g^ jf]N^ -1 s]=hL=df 6 j^F dfg]sf]_</t>
  </si>
  <si>
    <t>g^ jf]N^ %ffgfsf] nflu</t>
  </si>
  <si>
    <t>Amp. Meter (0-500)</t>
  </si>
  <si>
    <t>6-32 Amp SP MCB</t>
  </si>
  <si>
    <t>6-32 Amp DP MCB</t>
  </si>
  <si>
    <t>6-32 Amp TP MCB</t>
  </si>
  <si>
    <t>6-32 Amp TPN MCB</t>
  </si>
  <si>
    <t>40-60 Amp SP MCB</t>
  </si>
  <si>
    <t>40-60 AmpDP MCB</t>
  </si>
  <si>
    <t>40-60 Amp TP MCB</t>
  </si>
  <si>
    <t>40-60 Amp TPN MCB</t>
  </si>
  <si>
    <t>40Amp DP MCB</t>
  </si>
  <si>
    <t>63 Amp DP MCB</t>
  </si>
  <si>
    <t>40Amp TP MCB</t>
  </si>
  <si>
    <t>50 Amp TP MCB</t>
  </si>
  <si>
    <t>63 Amp TP MCB</t>
  </si>
  <si>
    <t>4 Way SPN DB Double Cover</t>
  </si>
  <si>
    <t>6 Way SPN DB Double Cover</t>
  </si>
  <si>
    <t>8Way SPN DB Double Cover</t>
  </si>
  <si>
    <t>12 Way SPN DB Double Cover</t>
  </si>
  <si>
    <t>16 Way SPN DB Double Cover</t>
  </si>
  <si>
    <t>3/4 Way TPN DB Double Cover</t>
  </si>
  <si>
    <t>6 Way TPN DB Double Cover</t>
  </si>
  <si>
    <t>8 Way TPN DB Double Cover</t>
  </si>
  <si>
    <t>50 Pair Telephone DB with Crown tag</t>
  </si>
  <si>
    <t>4 wayTPN DB 14"x16"x5"</t>
  </si>
  <si>
    <t>6 wayTPN DB 16"x18"x5"</t>
  </si>
  <si>
    <t>8 wayTPN DB 18"x20"x5"</t>
  </si>
  <si>
    <t>10 wayTPN DB 20"x22"x5"</t>
  </si>
  <si>
    <t>12 wayTPN DB 22"x24"x5"</t>
  </si>
  <si>
    <t>14-16 wayTPN DB 24"x26"x5"</t>
  </si>
  <si>
    <t>4 Pole MCB Box</t>
  </si>
  <si>
    <t>36" Ceiling Fan</t>
  </si>
  <si>
    <t>42" Ceiling Fan</t>
  </si>
  <si>
    <t>48" Ceiling Fan</t>
  </si>
  <si>
    <t>56" Ceiling Fan</t>
  </si>
  <si>
    <t>16" Wall Fan</t>
  </si>
  <si>
    <t>6 " Exhaust fan</t>
  </si>
  <si>
    <t>9" Exhaust Fan</t>
  </si>
  <si>
    <t>12" Exhaust Fan</t>
  </si>
  <si>
    <t>Dome Light 8" Brass Base (decorative)</t>
  </si>
  <si>
    <t>1*10 Watt FCL Down Light (conceal light)</t>
  </si>
  <si>
    <t>Wall Bracket/Spot Light/Mirror Light ( ordinary)</t>
  </si>
  <si>
    <t>Bulk head Single Direct Ord. Decon</t>
  </si>
  <si>
    <t>dfn;fdfg pknAw u/L %) dL=dL= df]6f] x]eL 8o"6L OG6/nls+u s+lqm6Ans %) dL=dL=df]6fOsf] qm;/ 8:6 dfyL /fvL la5ofpg]] sfd k'/f .</t>
  </si>
  <si>
    <t>uf/f]sf] df]x8fdf lju|]sf] O{6f lgsfnL l;=af= -!M^_ df dd{t ug]{ sfd =======================================================================</t>
  </si>
  <si>
    <t>k'/fgf] ;txdf lnG;L8 cfonn] k'5L tof/L Ogfd]n k]G6 ug]{ sfd =======================================================================</t>
  </si>
  <si>
    <t xml:space="preserve">vfgLsf] afn'jf </t>
  </si>
  <si>
    <t xml:space="preserve">^f^f '/]* cS;fO* k]G^ </t>
  </si>
  <si>
    <t>b/ ljZn]if0fsf] nflu ! /=dL= lnOPsf]</t>
  </si>
  <si>
    <t>l;d]G6 jf jh| hf]8]sf] uf/f] eTsfpg] sfd =======================================================================</t>
  </si>
  <si>
    <t>Supplying and fitting Ready made Teak wood Doors,special (Seasoned and Poisoned treated ,one side teak and other side water proof ply fitting)  with all neccessary hardware all complete.</t>
  </si>
  <si>
    <t>Earth filling in 150 mm thick layer, watering, ramming including supply of filling materials within 6 km distance all complete.</t>
  </si>
  <si>
    <t>Earth filling in 150 mm thick layer, watering, ramming including supply of filling materials within 6 km distance.</t>
  </si>
  <si>
    <t>Earth filling including supply of filling materials within 10 m distance all complete.</t>
  </si>
  <si>
    <t>Earth filling including supply of filling materials within 10 m distance.</t>
  </si>
  <si>
    <t xml:space="preserve">Pumping out of water from foundation or pit. </t>
  </si>
  <si>
    <t>per hour</t>
  </si>
  <si>
    <t>Sand filling including supply of filling materials, watering, ramming etc. all complete</t>
  </si>
  <si>
    <t>Sand filling including supply of filling materials.</t>
  </si>
  <si>
    <t>Machine made  Brickwork in 1:3 C/S mortar up to ground floor in perfect line level finish including wetting the bricks, racking the joints and curing the work for at least 7 days all complete.</t>
  </si>
  <si>
    <t>Machine made  Brickwork in 1:3 C/S mortar up to ground floor.</t>
  </si>
  <si>
    <t xml:space="preserve">Machine made  Brickwork in 1:3 C/S mortar in superstructure in perfect line level finish including wetting the bricks, racking the joints and curing the work for at least 7 days all complete. </t>
  </si>
  <si>
    <r>
      <t xml:space="preserve"> </t>
    </r>
    <r>
      <rPr>
        <sz val="16"/>
        <color indexed="10"/>
        <rFont val="Preeti"/>
      </rPr>
      <t xml:space="preserve">sfnf] kmnfd] kfO{ksf] 6«; agfO{ k|fOd/ k]G6 ;lxt ;fO6df </t>
    </r>
  </si>
  <si>
    <t>Supplying and fitting Ready made Teak wood Doors,ordinary (Seasoned and Poisoned treated ,one side teak and other side water proof ply fitting)  with all neccessary hardware all complete.</t>
  </si>
  <si>
    <t xml:space="preserve">  tof/L 6Ls vfkf Psftkm{ jf6/k|'km KnfO ePsf]</t>
  </si>
  <si>
    <t xml:space="preserve">  tof/L 6Ls vfkf </t>
  </si>
  <si>
    <r>
      <t xml:space="preserve"> </t>
    </r>
    <r>
      <rPr>
        <sz val="14"/>
        <rFont val="Times New Roman"/>
        <family val="1"/>
      </rPr>
      <t>White putty</t>
    </r>
  </si>
  <si>
    <t>s'FlbPsf] ;fn sf7sf] cfFvL em\ofn jf 9f]sf h8fg ug]{ sfd ====================================</t>
  </si>
  <si>
    <t>s'FlbPsf] ;fn sf7sf] em\ofn 9f]sf h8fg ug]{ sfd =============================================</t>
  </si>
  <si>
    <t>@) dL=dL= l;d]G6 afn'jf -!M#_ Knfi6/ =======================================================================</t>
  </si>
  <si>
    <t>!*)=</t>
  </si>
  <si>
    <t>af]N8/ 9'+ufsf] uf/f]df ˆn; ?N8 l6Ksf/ ug]{ sfd .</t>
  </si>
  <si>
    <t>af]N8/ 9'+ufsf] uf/f]df l;d]G6 afn'jf -!M@_ df ˆn; ?N8 l6Ksf/ ug]{ sfd .</t>
  </si>
  <si>
    <t>PZn/ sfddf ˆn; ?N8 l6Ksf/ l;d]G6 afn'jf -!M#_ sfo{ .</t>
  </si>
  <si>
    <r>
      <t xml:space="preserve">$% ;]=dL= </t>
    </r>
    <r>
      <rPr>
        <sz val="8"/>
        <rFont val="Arial"/>
        <family val="2"/>
      </rPr>
      <t>X</t>
    </r>
    <r>
      <rPr>
        <sz val="16"/>
        <rFont val="Preeti"/>
      </rPr>
      <t xml:space="preserve"> $% ;]=dL= r]K6f] 9'+uf 5fk]sf]df -!M#_ l;d]G6 afn'jfsf] l6Ksf/ .</t>
    </r>
  </si>
  <si>
    <t>b'O{ sf]6 cnsqf k]G6 nufpg] sfd =======================================================================</t>
  </si>
  <si>
    <r>
      <t>!)</t>
    </r>
    <r>
      <rPr>
        <sz val="14"/>
        <rFont val="Times New Roman"/>
        <family val="1"/>
      </rPr>
      <t>×</t>
    </r>
    <r>
      <rPr>
        <sz val="14"/>
        <rFont val="Preeti"/>
      </rPr>
      <t>!@</t>
    </r>
    <r>
      <rPr>
        <sz val="14"/>
        <rFont val="Times New Roman"/>
        <family val="1"/>
      </rPr>
      <t>/</t>
    </r>
    <r>
      <rPr>
        <sz val="14"/>
        <rFont val="Preeti"/>
      </rPr>
      <t>@=&amp;</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</si>
  <si>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r>
      <rPr>
        <sz val="14"/>
        <rFont val="Times New Roman"/>
        <family val="1"/>
      </rPr>
      <t>/</t>
    </r>
    <r>
      <rPr>
        <sz val="14"/>
        <rFont val="Preeti"/>
      </rPr>
      <t>#=(</t>
    </r>
  </si>
  <si>
    <r>
      <t xml:space="preserve">5_ </t>
    </r>
    <r>
      <rPr>
        <b/>
        <sz val="12"/>
        <rFont val="Times New Roman"/>
        <family val="1"/>
      </rPr>
      <t>WMN/ZN/PVC</t>
    </r>
  </si>
  <si>
    <t>df]l^{; ns ;fwf/)f</t>
  </si>
  <si>
    <t>P]gf 4 dL=dL=</t>
  </si>
  <si>
    <t>P]gf 5 dL=dL=</t>
  </si>
  <si>
    <t>P]gf 6 dL=dL=</t>
  </si>
  <si>
    <t>40 dL=dL= :qmo"</t>
  </si>
  <si>
    <t>sAhf 100 dL=dL=</t>
  </si>
  <si>
    <t>sAhf 75 dL=dL=</t>
  </si>
  <si>
    <t>%]l:sgL 100 dL=dL=</t>
  </si>
  <si>
    <t>Supplying and fitting Ready made Teak wood Doors,special (Seasoned and Poisoned treated ,one side teak)  with all neccessary hardware all complete.</t>
  </si>
  <si>
    <r>
      <t>b/ ljZn]if0fsf] nflu !=</t>
    </r>
    <r>
      <rPr>
        <sz val="11"/>
        <rFont val="Preeti"/>
      </rPr>
      <t xml:space="preserve"> j=ld= lnOPsf]</t>
    </r>
  </si>
  <si>
    <t>l;d]G6 jf jh| Knfi6/ eTsfpg] sfd  =======================================================================</t>
  </si>
  <si>
    <t>df6f]df hf]8]sf] uf/f] eTsfpg] sfd =======================================================================</t>
  </si>
  <si>
    <t>20/40  Watt FTL Rod  Philips or equivalent</t>
  </si>
  <si>
    <t>150  Watt SV Bulb Philips or equivalent</t>
  </si>
  <si>
    <t>250  Watt SV Bulb Philips or equivalent</t>
  </si>
  <si>
    <t xml:space="preserve"> 2" PVC Listy</t>
  </si>
  <si>
    <t xml:space="preserve"> 1.5" PVC Listy</t>
  </si>
  <si>
    <t>0.75" PVC Listy</t>
  </si>
  <si>
    <t>0.5" PVC Listy</t>
  </si>
  <si>
    <t>6 Amp Uni Socket Switch Combined With Shutter F</t>
  </si>
  <si>
    <t>Dimmer Single 400 Watt F</t>
  </si>
  <si>
    <t>Dimmer Single 800 Watt F</t>
  </si>
  <si>
    <t>DP Switch 16-32 Amp F</t>
  </si>
  <si>
    <t>Telephone Socket Single F</t>
  </si>
  <si>
    <t>Buzzer</t>
  </si>
  <si>
    <t>Musical Bell</t>
  </si>
  <si>
    <t>Ceiling Rose</t>
  </si>
  <si>
    <t>16 Amp 415 Volt DP Main Switch S</t>
  </si>
  <si>
    <t>32 Amp 415 Volt DP Main Switch S</t>
  </si>
  <si>
    <t>63 Amp 415 Volt DP Main Switch S</t>
  </si>
  <si>
    <t>100 Amp 415 Volt DP Main Switch</t>
  </si>
  <si>
    <t>16 Amp 415 Volt TP Main Switch</t>
  </si>
  <si>
    <t>32 Amp 415 Volt TP Main Switch</t>
  </si>
  <si>
    <t>63 Amp 415 Volt TP Main Switch</t>
  </si>
  <si>
    <t>100 Amp 415 Volt TP Main Switch</t>
  </si>
  <si>
    <t>16 Amp 415 Volt TP Main Switch HRC</t>
  </si>
  <si>
    <t>32 Amp 415 Volt TP Main Switch HRC</t>
  </si>
  <si>
    <t>63 Amp 415 Volt TP Main Switch HRC</t>
  </si>
  <si>
    <t>100 Amp 415 Volt TP Main Switch HRC</t>
  </si>
  <si>
    <t>200 Amp 415 Volt TP Switch HRC</t>
  </si>
  <si>
    <t>16 Amp 415 Volt Change over Switch</t>
  </si>
  <si>
    <t>32 Amp 415 Volt Change over Switch</t>
  </si>
  <si>
    <t>63 Amp 415 Volt Change over Switch</t>
  </si>
  <si>
    <t>100 Amp 415 Volt Change over Switch</t>
  </si>
  <si>
    <t>63 Amp Bus Bar Chamber</t>
  </si>
  <si>
    <t>100 Amp Bus Bar Chamber</t>
  </si>
  <si>
    <t>200 Amp Bus Bar Chamber</t>
  </si>
  <si>
    <t>60/100 Panel Board with Suitable color,Floor Mounted Double cover,pushTypeSwitch, Size 9"x36"x48"</t>
  </si>
  <si>
    <t>60/100 Panel Board with Suitable color,Floor Mounted Double cover,pushTypeSwitch, Size 12"x36"x48"</t>
  </si>
  <si>
    <t>150/200 Panel Board with Suitable color,Floor Mounted Double cover,Push Type Switch Size 9"x38"x52"</t>
  </si>
  <si>
    <t>250/300 Panel Board with Suitable color,Floor Mounted Double cover,Push Type Switch Size 12"x48"x60"</t>
  </si>
  <si>
    <t>400 Panel Board with Suitable color,Floor Mounted Double cover,Push Type Switch Size 12"x52"x66"</t>
  </si>
  <si>
    <t>60 Amp MCCB Siemens made</t>
  </si>
  <si>
    <t>100 Amp MCCB Siemens made</t>
  </si>
  <si>
    <t>125 Amp MCCB Siemens made</t>
  </si>
  <si>
    <t>160  Amp MCCB Siemens made</t>
  </si>
  <si>
    <t>200-250 Amp MCCB Siemens made</t>
  </si>
  <si>
    <t>Fencing with 62mm X 62mm size mesh made up of 7mm Ø rods framed on 25X25X4 mm angles and 50mm Ø M.S. blackpipe post in 2m interval including jointting , fixing, erection and primer painting with all necessary M.S. grills and plates as per drawing and inst</t>
  </si>
  <si>
    <t>Fabrication and fixing of  I.S. or B.S. Standard iron section with one coat primer painting all complete</t>
  </si>
  <si>
    <t>Fabrication and fixing of  I.S. or B.S. Standard iron section with one coat primer painting.</t>
  </si>
  <si>
    <t>Ruled pointing work in  (1:3) cement sand mortar on boulder stone work.</t>
  </si>
  <si>
    <t>Ruled pointing work in  (1:3) cement sand mortar on Asler work with good finish including curing as per instruciton all complete.</t>
  </si>
  <si>
    <t>Ruled pointing work in  (1:3) cement sand mortar on Asler work.</t>
  </si>
  <si>
    <t>75 mm dia UPVC cross tee.</t>
  </si>
  <si>
    <t xml:space="preserve">75 mm dia UPVC pipe clip. </t>
  </si>
  <si>
    <t>110 mm dia UPVC vent  cowl.</t>
  </si>
  <si>
    <t>110 mm dia UPVC  plain Tee.</t>
  </si>
  <si>
    <t>110 mm dia UPVC Door Tee</t>
  </si>
  <si>
    <t>110 mm dia UPVC 90 degree bend.</t>
  </si>
  <si>
    <t>110 mm dia UPVC Door bend.</t>
  </si>
  <si>
    <t xml:space="preserve">110 mm dia UPVC 45 degree bend </t>
  </si>
  <si>
    <t xml:space="preserve">110 mm dia UPVC Y branch </t>
  </si>
  <si>
    <t>110 mm dia UPVC cross tee</t>
  </si>
  <si>
    <t>110 mm dia UPVC pipe clip</t>
  </si>
  <si>
    <t xml:space="preserve">110 mm dia UPVC gully trap </t>
  </si>
  <si>
    <t>50 mm dia CI 90 degee bend</t>
  </si>
  <si>
    <t>50 mm dia CI Vent Cowl.</t>
  </si>
  <si>
    <t>PZn/ sfddf l;d]G6 afn'jf -!M#_ ?N8 l6Ksf/ ug]{ sfd =======================================================================</t>
  </si>
  <si>
    <t>!^@=</t>
  </si>
  <si>
    <r>
      <t>@=% ;]=dL=df]6fO{sf] l;d]G6 s+qmL6 -!M!</t>
    </r>
    <r>
      <rPr>
        <vertAlign val="superscript"/>
        <sz val="14"/>
        <rFont val="Preeti"/>
      </rPr>
      <t>!</t>
    </r>
    <r>
      <rPr>
        <sz val="14"/>
        <rFont val="Preeti"/>
      </rPr>
      <t>÷</t>
    </r>
    <r>
      <rPr>
        <vertAlign val="subscript"/>
        <sz val="14"/>
        <rFont val="Preeti"/>
      </rPr>
      <t>@</t>
    </r>
    <r>
      <rPr>
        <sz val="14"/>
        <rFont val="Preeti"/>
      </rPr>
      <t>M#_ df 8]Dk k|'lkmË ug]{ sfd =======================================================================</t>
    </r>
  </si>
  <si>
    <t>Earth filling in 150 mm thick layer, watering, ramming including supply of filling materials within 10 m distance all complete.</t>
  </si>
  <si>
    <t xml:space="preserve">Earth filling in 150 mm thick layer with  watering and ramming </t>
  </si>
  <si>
    <r>
      <t xml:space="preserve">$=% </t>
    </r>
    <r>
      <rPr>
        <sz val="10"/>
        <rFont val="Arial"/>
        <family val="2"/>
      </rPr>
      <t>X</t>
    </r>
    <r>
      <rPr>
        <sz val="14"/>
        <rFont val="Preeti"/>
      </rPr>
      <t xml:space="preserve"> @) dL=dL= kmnfd] kftfsf] k|m]ddf !@ </t>
    </r>
    <r>
      <rPr>
        <sz val="14"/>
        <rFont val="Arial"/>
        <family val="2"/>
      </rPr>
      <t>x</t>
    </r>
    <r>
      <rPr>
        <sz val="14"/>
        <rFont val="Preeti"/>
      </rPr>
      <t xml:space="preserve"> !@ dL=dL=;f]ln8 sf]/ :Sjfo/ /8sf] lu|n agfO{ vfS;L nufO{ /]8cS;fO8 tyf cNd'lgod k]G6 ;d]t u/L hf]8\g] . ===============================================================================</t>
    </r>
  </si>
  <si>
    <t>#* dL=dL=Aof;sf] :6]Gn];l:6nsf] x\of08/]ndf @ ld6/sf] b"/Ldf #* dL=dL=Aof;sf] :6]Gn];l:6ns} 7f8f] kf]i6 /fvL x\of08/]n / e'O+sf] aLrdf b'O{ tx t];f]{ @% dL=dL=Aof;sf] :6]Gn];l:6nsf] d]Da/ /fvL @Ú–^Æ b]lv #Ú–)Æ ;Dd prfO{ ePsf] /]lnË jgfO{ h8fg ug]{ sfd . ==========================</t>
  </si>
  <si>
    <t>Ps sf]6 c:t/ u/L b'O{ sf]6 Pk]S; k]G6 ug]{ sfd . ===============================</t>
  </si>
  <si>
    <t>Ps sf]6 k|fO{d/ ;lxt b'O{ sf]6 tof/L jf;]jn l8:6]Dk/ nufpg] sfd . =====</t>
  </si>
  <si>
    <t>!)@</t>
  </si>
  <si>
    <t>!)#</t>
  </si>
  <si>
    <t>Well seasoned salwood chaukhats for fixed/openable door/windows with good finish of approved quality incuding fixing in postion with necessary M.S. hold fasts as per drawing and instruction all complete.</t>
  </si>
  <si>
    <t>Well seasoned salwood chaukhats for fixed/openable door/windows.</t>
  </si>
  <si>
    <t>Making and fitting fixing sal wood Panelled door shutter with 38 mm thick sal wood frame including all necessary hardware fitting all complete.</t>
  </si>
  <si>
    <t>Making and fitting fixing sal wood Panelled door shutter with 38 mm thick sal wood frame.</t>
  </si>
  <si>
    <t xml:space="preserve">Fixing of glazed shutter in 38x75 mm thick sal wood frame with 3mm thick  plain glass fitted including all necessary hardware fittings all complete. </t>
  </si>
  <si>
    <t xml:space="preserve"> white glazed wash basin 55X40mm with brackets 32mm bottle trap,   ½"x18" pipe connector etc  all complete.</t>
  </si>
  <si>
    <t xml:space="preserve"> white glazed wash basin 55X40mm </t>
  </si>
  <si>
    <r>
      <t xml:space="preserve">%) dL=dL= </t>
    </r>
    <r>
      <rPr>
        <sz val="12"/>
        <rFont val="Arial"/>
        <family val="2"/>
      </rPr>
      <t>Ø</t>
    </r>
    <r>
      <rPr>
        <sz val="12"/>
        <rFont val="Preeti"/>
      </rPr>
      <t xml:space="preserve"> sf] sfnf] kmnfd] kfO{k kf]i6 @ dL6/ b"/Ldf @)</t>
    </r>
    <r>
      <rPr>
        <sz val="10"/>
        <rFont val="Arial"/>
        <family val="2"/>
      </rPr>
      <t>x</t>
    </r>
    <r>
      <rPr>
        <sz val="12"/>
        <rFont val="Preeti"/>
      </rPr>
      <t>@)</t>
    </r>
    <r>
      <rPr>
        <sz val="10"/>
        <rFont val="Arial"/>
        <family val="2"/>
      </rPr>
      <t>x</t>
    </r>
    <r>
      <rPr>
        <sz val="12"/>
        <rFont val="Preeti"/>
      </rPr>
      <t>$ dL=dL=/</t>
    </r>
  </si>
  <si>
    <r>
      <t>@)</t>
    </r>
    <r>
      <rPr>
        <sz val="9"/>
        <rFont val="Arial"/>
        <family val="2"/>
      </rPr>
      <t>x</t>
    </r>
    <r>
      <rPr>
        <sz val="11"/>
        <rFont val="Preeti"/>
      </rPr>
      <t>@)</t>
    </r>
    <r>
      <rPr>
        <sz val="9"/>
        <rFont val="Arial"/>
        <family val="2"/>
      </rPr>
      <t>x</t>
    </r>
    <r>
      <rPr>
        <sz val="11"/>
        <rFont val="Preeti"/>
      </rPr>
      <t>$ dL=dL=PËn</t>
    </r>
  </si>
  <si>
    <r>
      <t>@%</t>
    </r>
    <r>
      <rPr>
        <sz val="9"/>
        <rFont val="Arial"/>
        <family val="2"/>
      </rPr>
      <t>x</t>
    </r>
    <r>
      <rPr>
        <sz val="11"/>
        <rFont val="Preeti"/>
      </rPr>
      <t>@%</t>
    </r>
    <r>
      <rPr>
        <sz val="9"/>
        <rFont val="Arial"/>
        <family val="2"/>
      </rPr>
      <t>x</t>
    </r>
    <r>
      <rPr>
        <sz val="11"/>
        <rFont val="Preeti"/>
      </rPr>
      <t>$ dL=dL= PËn</t>
    </r>
  </si>
  <si>
    <r>
      <t xml:space="preserve">!) </t>
    </r>
    <r>
      <rPr>
        <sz val="7"/>
        <rFont val="Arial"/>
        <family val="2"/>
      </rPr>
      <t xml:space="preserve">S.W.G.G. I. Chain </t>
    </r>
    <r>
      <rPr>
        <sz val="8"/>
        <rFont val="Arial"/>
        <family val="2"/>
      </rPr>
      <t xml:space="preserve">Link  </t>
    </r>
    <r>
      <rPr>
        <sz val="11"/>
        <rFont val="Preeti"/>
      </rPr>
      <t>@Æ</t>
    </r>
    <r>
      <rPr>
        <sz val="8"/>
        <rFont val="Arial"/>
        <family val="2"/>
      </rPr>
      <t>x</t>
    </r>
    <r>
      <rPr>
        <sz val="11"/>
        <rFont val="Preeti"/>
      </rPr>
      <t>@Æ sf] d]; ;fOh</t>
    </r>
  </si>
  <si>
    <r>
      <t>kmnfd] kftfsf] lu|n #</t>
    </r>
    <r>
      <rPr>
        <sz val="8"/>
        <rFont val="Arial"/>
        <family val="2"/>
      </rPr>
      <t>x</t>
    </r>
    <r>
      <rPr>
        <sz val="11"/>
        <rFont val="Preeti"/>
      </rPr>
      <t>@) dL=dL=</t>
    </r>
  </si>
  <si>
    <t xml:space="preserve"> 40mm dia galvanized Iron (GI) pipe  necessary hardware  all complete.</t>
  </si>
  <si>
    <t>Flush door shutter of 38 x 100 mm size sal wood frame with 4 mm teak ply on both side.</t>
  </si>
  <si>
    <t>Making and fitting flush door shutter of 38 x 100 mm size sal wood frame with 28gauge G.I thick G.I  plain sheet on both side including all necessary hardware fitting all complete.</t>
  </si>
  <si>
    <r>
      <t xml:space="preserve">$) ld=ld=afSnf] </t>
    </r>
    <r>
      <rPr>
        <sz val="10"/>
        <rFont val="Arial"/>
        <family val="2"/>
      </rPr>
      <t>Prefab</t>
    </r>
    <r>
      <rPr>
        <sz val="13"/>
        <rFont val="Preeti"/>
      </rPr>
      <t xml:space="preserve"> sf] </t>
    </r>
    <r>
      <rPr>
        <sz val="10"/>
        <rFont val="Arial"/>
        <family val="2"/>
      </rPr>
      <t xml:space="preserve"> </t>
    </r>
    <r>
      <rPr>
        <sz val="13"/>
        <rFont val="Preeti"/>
      </rPr>
      <t>tof/L kfl6{;g</t>
    </r>
  </si>
  <si>
    <r>
      <t>6mmm th Flex-O Board</t>
    </r>
    <r>
      <rPr>
        <sz val="13"/>
        <rFont val="Preeti"/>
      </rPr>
      <t xml:space="preserve"> sf] tof/L </t>
    </r>
    <r>
      <rPr>
        <sz val="10"/>
        <rFont val="Arial"/>
        <family val="2"/>
      </rPr>
      <t>false ceiling</t>
    </r>
  </si>
  <si>
    <t>Fittings for Tiles on stairs</t>
  </si>
  <si>
    <t>Dendrite for tiles</t>
  </si>
  <si>
    <t>Wall Paper</t>
  </si>
  <si>
    <t>Wall paper (10m.x 0.53m)</t>
  </si>
  <si>
    <t xml:space="preserve">/f]n  </t>
  </si>
  <si>
    <t>Fittings for wall paper</t>
  </si>
  <si>
    <t>White glue for wall paper</t>
  </si>
  <si>
    <t xml:space="preserve">Water proofing chemical </t>
  </si>
  <si>
    <t xml:space="preserve"> i) 2 coat of tape crete</t>
  </si>
  <si>
    <t>ii) Water  proofing treatment in grouting</t>
  </si>
  <si>
    <t>iii) Waterproofing treatment in seal wall</t>
  </si>
  <si>
    <t>iv) Pre construction anti termite treatment</t>
  </si>
  <si>
    <t xml:space="preserve">Waterproofing treatment </t>
  </si>
  <si>
    <t xml:space="preserve"> i) Wall guard (Interior wall coating )</t>
  </si>
  <si>
    <t>ii) Seal on roof, water proof coating work</t>
  </si>
  <si>
    <t>iii) Seal, long life exterior  coating on plastered surface</t>
  </si>
  <si>
    <t>iv) Water repellent on exposed bricks and stones</t>
  </si>
  <si>
    <t>s'lbPsf] sf7sf] sfd tof/L</t>
  </si>
  <si>
    <t>k/Dk/fut lgdf{0f ;fdfu|Lx? M–</t>
  </si>
  <si>
    <t xml:space="preserve">#_ blrckf 7"nf]sf] s'+ </t>
  </si>
  <si>
    <t xml:space="preserve">$_ blrckf ;fgf]sf] s'F ckf </t>
  </si>
  <si>
    <t xml:space="preserve">(G.M.) check valve 100mm dia medium quality with flange </t>
  </si>
  <si>
    <t>PVC floor trap 11x7.5 cm  all complete.</t>
  </si>
  <si>
    <t>20mm thick cement sand plaster in (1:4) ratio on floor.</t>
  </si>
  <si>
    <t>20mm thick cement sand plaster in (1:6) ratio on floor of good finish including racking the joint, wetting of surfaces &amp; curing the work all complete.</t>
  </si>
  <si>
    <t>20mm thick cement sand plaster in (1:6) ratio on floor .</t>
  </si>
  <si>
    <t>25mm thick Leon plaster in wall of good finish including racking the joint, wetting of surfaces &amp; curing the work all complete.</t>
  </si>
  <si>
    <t>25mm thick Leon plaster in wall.</t>
  </si>
  <si>
    <t>12mm thick Leon plaster in wall of good finish including racking the joint, wetting of surfaces &amp; curing the work all complete.</t>
  </si>
  <si>
    <t>12mm thick Leon plaster in wall.</t>
  </si>
  <si>
    <t xml:space="preserve"> 110 mm dia CI  P or S Trap</t>
  </si>
  <si>
    <t>110 mm dia CI  Plain Tee</t>
  </si>
  <si>
    <t>110 mm dia CI  Y-Branch</t>
  </si>
  <si>
    <t>110 mm dia CI Door bend</t>
  </si>
  <si>
    <t>Hard Soil Cutting (for Well)</t>
  </si>
  <si>
    <t>Cu.m.</t>
  </si>
  <si>
    <t>4' Ø R.C.C. Ring for Well fitting</t>
  </si>
  <si>
    <t>3'6" Ø R.C.C. Ring for Well fitting</t>
  </si>
  <si>
    <t>3' Ø R.C.C. Ring for Well fitting</t>
  </si>
  <si>
    <t>2'6" Ø R.C.C. Ring for Well fitting</t>
  </si>
  <si>
    <t>150 mm dia CI Vent Cowl.</t>
  </si>
  <si>
    <t>IPWC comode with cistern and comode seat cover all complete set (European pattern)</t>
  </si>
  <si>
    <t>IPWC comode with cistern and comode seat cover all complete set (Eoropean pattern)</t>
  </si>
  <si>
    <t>Under counter wash basin  all complete set (European pattern)</t>
  </si>
  <si>
    <t>Under counter wash basin  all complete set (Eoropean pattern)</t>
  </si>
  <si>
    <t>C P Towel ring  (European pattern)</t>
  </si>
  <si>
    <t>C P Towel ring  (Eoropean pattern)</t>
  </si>
  <si>
    <t>C P High flow divertor with single lever  (European pattern)</t>
  </si>
  <si>
    <t>1 coats of bitumen (Alkatra) painting over porperly cleaned surface all complete</t>
  </si>
  <si>
    <t>2 coats of bitumen (Alkatra) painting over porperly cleaned surface all complete</t>
  </si>
  <si>
    <t>Three coats of chapra polishing in wood surfaces with approved colour in properly sanded surface including sealing voids with putting all complete.</t>
  </si>
  <si>
    <t>1 coats of Tata red oxide painting over porperly cleaned surface all complete</t>
  </si>
  <si>
    <t>Two coats of tata red oxide painting with approved colour in properly cleaned surface including sealing voids with putting all complete.</t>
  </si>
  <si>
    <t xml:space="preserve">Two coats of tata red oxide painting with approved colour in properly cleaned surface </t>
  </si>
  <si>
    <t>Flush pointing work in  (1:1) cement sand mortar on brick works with good finish including curing as per instruciton all complete.</t>
  </si>
  <si>
    <t>Flush pointing work in  (1:1) cement sand mortar on brick works.</t>
  </si>
  <si>
    <t>Ruled pointing work in  (1:1) cement sand mortar on brick works with good finish including curing as per instruciton all complete.</t>
  </si>
  <si>
    <t>Ruled pointing work in  (1:1) cement sand mortar on brick works.</t>
  </si>
  <si>
    <t xml:space="preserve"> 500 lit capacity PVC water tank HilTake or equivalent</t>
  </si>
  <si>
    <t>500 lit capacity PVC water tank HilTake or equivalent</t>
  </si>
  <si>
    <t xml:space="preserve"> 2000 lit capacity PVC water tank HilTake or equivalent</t>
  </si>
  <si>
    <t>2000 lit capacity PVC water tank HilTake or equivalent</t>
  </si>
  <si>
    <t xml:space="preserve"> 1HPChinese Water Pump</t>
  </si>
  <si>
    <t>1HPChinese Water Pump</t>
  </si>
  <si>
    <t>#÷$Æ Jof; ePsf] @=^% dL=dL= </t>
  </si>
  <si>
    <t>!Æ Jof; ePsf] @=^% dL=dL= </t>
  </si>
  <si>
    <t>! !÷$Æ Jof; ePsf] @=^% dL=dL= </t>
  </si>
  <si>
    <t>! !÷@Æ Jof; ePsf] @=^% dL=dL= </t>
  </si>
  <si>
    <t xml:space="preserve"> @Æ Jof; ePsf] @=^% dL=dL= </t>
  </si>
  <si>
    <t>#÷$Æ Jof; ePsf]  !^ u]h df]6fO{</t>
  </si>
  <si>
    <t>!Æ Jof; ePsf]  !^ u]h df]6fO{</t>
  </si>
  <si>
    <t>! !÷$Æ Jof; ePsf] !^ u]h df]6fO{</t>
  </si>
  <si>
    <t>! !÷@Æ Jof; ePsf] !^ u]h df]6fO{</t>
  </si>
  <si>
    <t xml:space="preserve"> @Æ Jof; ePsf] !^ u]h df]6fO{</t>
  </si>
  <si>
    <t xml:space="preserve">l;d]G6df, afn'jf, lu§L cflbsf] sfd tyf ;fdfgx? ;DaGwL </t>
  </si>
  <si>
    <t>Flush pointing work in  (1:2) cement sand mortar on brick works with good finish including curing as per instruciton all complete.</t>
  </si>
  <si>
    <t>Flush pointing work in  (1:2) cement sand mortar on brick works.</t>
  </si>
  <si>
    <t>12.5mm thick cement sand plaster in (1:6) ratio on wall.</t>
  </si>
  <si>
    <t>2 Gang  one way Switch F</t>
  </si>
  <si>
    <t>2Gang one way Switch S</t>
  </si>
  <si>
    <t>3 Gang  one way Switch F</t>
  </si>
  <si>
    <t>3 Gang one way Switch S</t>
  </si>
  <si>
    <t>4 Gang  one way Switch F</t>
  </si>
  <si>
    <t>4 Gang one way Switch S</t>
  </si>
  <si>
    <t>6 Gang  one way Switch F</t>
  </si>
  <si>
    <t>6 Gang  one way Switch S</t>
  </si>
  <si>
    <t>8 Gang  one way Switch F</t>
  </si>
  <si>
    <t>8 Gang  one way Switch S</t>
  </si>
  <si>
    <t>1 Gang  one Bell Push F</t>
  </si>
  <si>
    <t>1 Gang  one Bell Push S</t>
  </si>
  <si>
    <t>16/6 Amp Combined S/Socket With Safety Shutter F</t>
  </si>
  <si>
    <t>16/6 Amp Combined S/Socket With Safety ShutterS</t>
  </si>
  <si>
    <t>16 Amp 3 pin Plug Top</t>
  </si>
  <si>
    <t>20/25 Amp SP AC motor starter with 6/16 Amp Power socket</t>
  </si>
  <si>
    <t>1 Gang 1 one way Switch F</t>
  </si>
  <si>
    <t>1 Gang 2 way Switch F</t>
  </si>
  <si>
    <t>2 Gang 2 one way Switch F</t>
  </si>
  <si>
    <t>3 Gang 3 one way Switch F</t>
  </si>
  <si>
    <t>4 Gang 4 one way Switch F</t>
  </si>
  <si>
    <t>5 Gang 5 one way Switch F</t>
  </si>
  <si>
    <t>12.5mm thick lime surki plaster in (1:2) ratio on wall and ceiling.</t>
  </si>
  <si>
    <t>20mm thick lime surki plaster in (1:2) ratio on wall and ceiling of good finish including racking the joint, wetting of surfaces &amp; curing the work all complete.</t>
  </si>
  <si>
    <t>20mm thick lime surki plaster in (1:2) ratio on wall and ceiling of good finish.</t>
  </si>
  <si>
    <t>20mm thick cement sand plaster in (1:3) ratio on wall of good finish including racking the joint, wetting of surfaces &amp; curing the work all complete.</t>
  </si>
  <si>
    <t>20mm thick cement sand plaster in (1:3) ratio on wall.</t>
  </si>
  <si>
    <t xml:space="preserve">e'O{+tNnfeGbf dfly O{+++6fsf] uf/f] nufpg] sfd l;d]G6 d;nf -!M^_ df  =============================================================================================   </t>
  </si>
  <si>
    <t>-Hofnf ;lxt_</t>
  </si>
  <si>
    <t>cfNd'lgodsf</t>
  </si>
  <si>
    <t>b/ /]6 k|lt j= dL=sf]</t>
  </si>
  <si>
    <t>b/ ljZn]if0fsf] nflu !) Jf=dL= lnOPsf]</t>
  </si>
  <si>
    <t>b/ ljZn]if0fsf] nflu ! Jf=dL= lnOPsf]</t>
  </si>
  <si>
    <t>df]l6{; ns                                                             -;fwf/0f_</t>
  </si>
  <si>
    <t xml:space="preserve"> ^ dL=dL= jf6/k|'km KnfO{p8</t>
  </si>
  <si>
    <t>sfaf]{/)*d ('+uf</t>
  </si>
  <si>
    <t>^]/fhf] ^fOn 20 dL=dL=</t>
  </si>
  <si>
    <t xml:space="preserve">channel fixing 9.0-12.5mm thick MPL (metalised polyster laminated) board or MPL boral  </t>
  </si>
  <si>
    <t>UPVC</t>
  </si>
  <si>
    <t>df]ljsn</t>
  </si>
  <si>
    <t>-</t>
  </si>
  <si>
    <t>$ dL=dL= 6Ls KnfOp8</t>
  </si>
  <si>
    <t xml:space="preserve">d;nfdf nufO{ 3f]6\g] / kflnz ug]{ . </t>
  </si>
  <si>
    <t>km\nf]l/Ë sfo{sf nflu afn'jfn] eg]{ sfd .</t>
  </si>
  <si>
    <t>Pk]S;</t>
  </si>
  <si>
    <t>sf]?u]^]* /+lug ss{t kftf 0=41 ld=ld</t>
  </si>
  <si>
    <t>lgdf{0f ;fdu|L / lkml6Ë sfo{ ;d]t</t>
  </si>
  <si>
    <t xml:space="preserve"> nufpg] sfd, O{+6f pknAw ug]{, d;nf tof/ u/L d;nfdf uf/f]</t>
  </si>
  <si>
    <t xml:space="preserve">e'O{+tNnfeGbf dfly lrDgL e§fsf] O{+6fsf] uf/f] l;d]G6 d;nf -!M#_ df  =============================================================================================   </t>
  </si>
  <si>
    <t xml:space="preserve">Good quality local chimney made  Brickwork in 1:4 C/S mortar up to ground floor in perfect line level finishe including wetting the bricks, racking the joints and curing the work for at least 7 days all complete. </t>
  </si>
  <si>
    <t>Good quality local chimney made  Brickwork in 1:4 C/S mortar up to ground floor .</t>
  </si>
  <si>
    <t xml:space="preserve">Good quality local chimney made  Brickwork in 1:4 C/S mortar in superstructure in perfect line level finish including wetting the bricks, racking the joints and curing the work for at least 7 days all complete. </t>
  </si>
  <si>
    <t>Good quality local chimney made  Brickwork in 1:4 C/S mortar in superstructure.</t>
  </si>
  <si>
    <t xml:space="preserve">Good quality local chimney made  Brickwork in 1:6 C/S mortar up to ground floor in perfect line level finishe including wetting the bricks, racking the joints and curing the work for at least 7 days all complete. </t>
  </si>
  <si>
    <t>Good quality local chimney made  Brickwork in 1:6 C/S mortar up to ground floor.</t>
  </si>
  <si>
    <t xml:space="preserve">Good quality local chimney made  Brickwork in 1:6 C/S mortar in superstructure in perfect line level finish including wetting the bricks, racking the joints and curing the work for at least 7 days all complete. </t>
  </si>
  <si>
    <t>Good quality local chimney made  Brickwork in 1:6 C/S mortar in superstructure.</t>
  </si>
  <si>
    <t xml:space="preserve">Local chimney made  Brickwork in mud mortar for up to ground floor in perfect line level finish including wetting the bricks and racking the joints all complete. </t>
  </si>
  <si>
    <t>Local chimney made  Brickwork in mud mortar for up to ground floor .</t>
  </si>
  <si>
    <t xml:space="preserve">Local chimney made  Brickwork in mud mortar for superstructure in perfect line level finish including wetting the bricks and racking the joints all complete. </t>
  </si>
  <si>
    <t>t]lnof O{6f 5fk]sf]df l;d]G6 afn'jf -!M!_ l6Ksf/ .</t>
  </si>
  <si>
    <t xml:space="preserve">Good quality local chimney made  Brickwork in 1:3 C/S mortar up to ground floor in perfect line level finishe including wetting the bricks, racking the joints and curing the work for at least 7 days all complete. </t>
  </si>
  <si>
    <t>Good quality local chimney made  Brickwork in 1:3 C/S mortar up to ground floor.</t>
  </si>
  <si>
    <t xml:space="preserve">Good quality local chimney made  Brickwork in 1:3 C/S mortar in superstructure in perfect line level finish including wetting the bricks, racking the joints and curing the work for at least 7 days all complete. </t>
  </si>
  <si>
    <t>Good quality local chimney made  Brickwork in 1:3 C/S mortar in superstructure.</t>
  </si>
  <si>
    <t>Making and fitting fixing Plywood Panel door shutter of 38 x 100 mm size sal wood frame with 8 mm thick commercial ply on midle and 4mm thick teak ply on both sides including all necessary hardware fitting all complete.</t>
  </si>
  <si>
    <t>13  Amp Round Elat Switch Socket F</t>
  </si>
  <si>
    <t>Two Switch + Socket</t>
  </si>
  <si>
    <t>T.V Socket Single</t>
  </si>
  <si>
    <t>Telephone Socket Single</t>
  </si>
  <si>
    <t>50-60mm thick flag stone paving work in (1:4) C/S mortar .</t>
  </si>
  <si>
    <t>50-62mm thick flag stone paving work in (1:4) C/S mortar  including curing etc all complete.</t>
  </si>
  <si>
    <t>50-62mm thick flag stone paving work in (1:4) C/S mortar .</t>
  </si>
  <si>
    <t>60mm thick inter locking concrete block paving with 50mm.th. Stone dust all complete</t>
  </si>
  <si>
    <t>60mm thick flag stone paving work on stone dust.</t>
  </si>
  <si>
    <t>70mm thick inter locking concrete block paving with 50mm.th. Stone dust all complete</t>
  </si>
  <si>
    <t>70mm thick flag stone paving work on stone dust.</t>
  </si>
  <si>
    <t>25-37.5 mm thick flag stone paving work in (1:4) C/S mortar  including curing etc all complete.</t>
  </si>
  <si>
    <t>25-37.5 mm thick flag stone paving work in (1:4) C/S mortar.</t>
  </si>
  <si>
    <t>25 mm thick Telia brick paving work in (1:2) surki mortar and pointing the joints with 1:1 C/S mortar including curing etc all complete.</t>
  </si>
  <si>
    <t>25 mm thick Telia brick paving work in (1:2) surki mortar and pointing the joints with 1:1 C/S mortar.</t>
  </si>
  <si>
    <t>Local flat brick soiling work in (1:6) Cement Sand mortar and pointing joint in (1:2)cement sand .</t>
  </si>
  <si>
    <t>Local brick on edge soiling work in (1:6) Cement Sand mortar and pointing joint in (1:2)cement sand .</t>
  </si>
  <si>
    <t>Local flat brick soiling work with sand filling.</t>
  </si>
  <si>
    <t>Dry brick soling brick on edge in foundation and floor.</t>
  </si>
  <si>
    <t>Dry stone soling in foundation and floor including sand filling in joints, leveling, watering etc. all complete.</t>
  </si>
  <si>
    <t>Flat dry brick soling on flat in foundation and floor including sand filling in joints, leveling, ramming etc. all complete</t>
  </si>
  <si>
    <t>1x20 Watt F.T.L Patti fitting Phillips/Wipro/GE  or equivalent</t>
  </si>
  <si>
    <t>1x40 Watt F.T.L Patti fitting Phillips/Wipro/GE  or equivalent</t>
  </si>
  <si>
    <t>1x20 Watt F.T.L Mirrolta FMC 200/140 Phillips or equivalent</t>
  </si>
  <si>
    <t>1x40 Watt F.T.L Mirrolta FMC 200/140 Phillips or equivalent</t>
  </si>
  <si>
    <t>2*18 watt CFL recessed / surface mounting mirror optic</t>
  </si>
  <si>
    <t>1*11 watt CFL mirror optic</t>
  </si>
  <si>
    <t>1x40  Watt F.T.L Box Fitting TMC 501/136 HPF Phillips/Wipro/GE or equivalent</t>
  </si>
  <si>
    <t>1x40 Watt FTL IndustrialChannel Stove Enamelled Reflector Phillips/Wipro/GE  or eqv</t>
  </si>
  <si>
    <t>2x40 Watt FTL IndustrialChannel Stove Enamelled Reflector Phillips/Wipro/GE  or eqv</t>
  </si>
  <si>
    <t>1x40  Watt F.T.L Opalite with Acrylic Difuser TCS 19/136 Philips or equivalent</t>
  </si>
  <si>
    <t>2x40  Watt F.T.L Opalite with Acrylic Difuser TCS 19/236 Philips or equivalent</t>
  </si>
  <si>
    <t xml:space="preserve">4x18/20  Watt F.T.L Dished Opal  Acrylic Cover/mirror optic TBC 71/420 HPF, 72/420 Philips </t>
  </si>
  <si>
    <t>c:t/ jfx]s Pssf]6 tof/L Ogfd]n k]G6 ug]{ sfd =======================================================================</t>
  </si>
  <si>
    <t>c:t/ jfx]s b'O{sf]6 tof/L Ogfd]n k]G6 ug]{ sfd =======================================================================</t>
  </si>
  <si>
    <t>6'qmf O{6fn] eg]{ sfd ===================================================================================</t>
  </si>
  <si>
    <t>capacity per kg 6 sq. ft 2 coat including supplying &amp; applying</t>
  </si>
  <si>
    <t xml:space="preserve"> all complete work.</t>
  </si>
  <si>
    <t>O{n]:6«f]qm]6 l;d]G6Llgo;\ O{n]:6f]d]l6«s jf6/ k|'lkmËsf</t>
  </si>
  <si>
    <t>kmnfd] 3'Dg] e¥ofË</t>
  </si>
  <si>
    <t>k'/fgf] ;km]{;df XjfO{6jfz ug]{ sfd =======================================================================</t>
  </si>
  <si>
    <t>BOQ, Abstract and Item Rates of F.Y. 2064/65</t>
  </si>
  <si>
    <t>S.N.</t>
  </si>
  <si>
    <t>Description for BOQ</t>
  </si>
  <si>
    <t>Description for Abstract and Comparative chart</t>
  </si>
  <si>
    <t>Unit</t>
  </si>
  <si>
    <t>Rate</t>
  </si>
  <si>
    <t>300-400 Amp MCCB Siemens made</t>
  </si>
  <si>
    <t>Voltmeter (0-500)</t>
  </si>
  <si>
    <t>Indicator</t>
  </si>
  <si>
    <t>Slector Switch</t>
  </si>
  <si>
    <t>C.T.Coil</t>
  </si>
  <si>
    <t>Energy meter</t>
  </si>
  <si>
    <t>Join Box Metal 4"x6"</t>
  </si>
  <si>
    <t>Join Box Metal 6"x8"</t>
  </si>
  <si>
    <t>Join Box Metal 8"x12"</t>
  </si>
  <si>
    <t>Join Box Metal 8"x10"</t>
  </si>
  <si>
    <t>Join Box PVC 4"x6"</t>
  </si>
  <si>
    <t>Join Box PVC 8"x10"</t>
  </si>
  <si>
    <t>NP2 RCC Hume pie with collar including 1:4 cement sand mortar 150 mm dia</t>
  </si>
  <si>
    <t>NP2 RCC Hume pie with collar including 1:4 cement sand mortar 200 mm dia</t>
  </si>
  <si>
    <t>2 coat of polymer coat for under ground water tank</t>
  </si>
  <si>
    <t>C,P spreader</t>
  </si>
  <si>
    <t>e) Double casement window</t>
  </si>
  <si>
    <t>kmnfd] sf]nK;Ljn u]6 jgfO{ hf]8\g] sfd -k]G6 ;d]t_ =======================================================================</t>
  </si>
  <si>
    <t>kmnfd] /f]ln+u z6/ jgfO{ hf]8\g] sfd -k]G6 ;d]t_ =======================================================================</t>
  </si>
  <si>
    <t>k'/fgf] df]Hofs km\nf]/ ;kmf ug]{ sfd  =======================================================================</t>
  </si>
  <si>
    <t>l;d]G6 d;nfdf kfgL k§L agfpg] sfd  =======================================================================</t>
  </si>
  <si>
    <t>sf&amp; ;fnsf] -8kmL^eGbf dflysf]_</t>
  </si>
  <si>
    <t>ud -df]ljsn÷km]ljsn_</t>
  </si>
  <si>
    <t>1 g+= sf] O{^f lrDgL e§f_</t>
  </si>
  <si>
    <t>Sn] ^fon -d]l;g d]]*_</t>
  </si>
  <si>
    <t>Ans :^f]g -vf]nfsf]_</t>
  </si>
  <si>
    <t>j)* :^f]g -vf]nfsf]_</t>
  </si>
  <si>
    <t>s|]hL dfj{n</t>
  </si>
  <si>
    <t>lh=cfO{ jfo/ d]z 24 u]h -d:So"^f] k|'km_</t>
  </si>
  <si>
    <t>sf&amp; ;fnsf] -8kmL^ ;Ddsf]]_</t>
  </si>
  <si>
    <t>xfl)*n -:k]zn_</t>
  </si>
  <si>
    <t>kln{g -cfO/g AnfskfOk_</t>
  </si>
  <si>
    <t>d]lzg d]* ^fon -%Fgf %fpg]_</t>
  </si>
  <si>
    <t>/+uLg r'gf -ef/lto_</t>
  </si>
  <si>
    <t>c:t/ -l;d]G^ k|fOd/ ;]tf]_</t>
  </si>
  <si>
    <t>k|fOd/ k]G^ -p* k|fOd/_</t>
  </si>
  <si>
    <t>afg]{; -tof/L afg]{; sd{l;on_</t>
  </si>
  <si>
    <t>cnsqf -?lkmª u|]*_</t>
  </si>
  <si>
    <t>!@–#) ;]=dL= uf]nfO{ ?v 9fNg] sfo{ =====================================================================================</t>
  </si>
  <si>
    <t xml:space="preserve">Knf:^/ ckm k]l/; 5 " rf}*f sfg]{; / df]*lnª ug{] </t>
  </si>
  <si>
    <t>b/ /]6 k|lt /=dL=sf]</t>
  </si>
  <si>
    <t xml:space="preserve">gf]6 M ut cf=j=sf] b//]6 cg';f/ </t>
  </si>
  <si>
    <t>ljleGg ;fOhsf] kmnfd] *)*L</t>
  </si>
  <si>
    <t>lhk jf]*{ ;fwf/)f</t>
  </si>
  <si>
    <t>d]^fnfO{H* kf][ln:^/ jf]*{ kmN;l;ln+u -Kn]g_</t>
  </si>
  <si>
    <t>lhk jf]*{ l*hfOg</t>
  </si>
  <si>
    <t>11.11/6x0.90=1.65</t>
  </si>
  <si>
    <t>50 dL=dL= uf]nfOsf] kmnfd] sfnf] kfO{ksf] k|f]k       -3=5 dL= nfdf]_</t>
  </si>
  <si>
    <t>/fh:yfgL dfj{n 16 dL=dL=</t>
  </si>
  <si>
    <t>!^ dL=dL= dfj{n</t>
  </si>
  <si>
    <t>g) ,,       ,,       ,,     with centre &amp; bottom fixed</t>
  </si>
  <si>
    <t>h) Single casement window with side fixed</t>
  </si>
  <si>
    <t>Supplying and installation of UPVC Profile Casement Door frame 60x60 mm , Casement door sash 104x60 mm, Casement window mullion 72x60 mm, door panel 100x25 mm  white colour with galvanized steel reinforcement of 1.5 mm, 5 mm thick clear glass, insect net,</t>
  </si>
  <si>
    <t>Casement door with half glass &amp; panel</t>
  </si>
  <si>
    <r>
      <t>UPVC</t>
    </r>
    <r>
      <rPr>
        <b/>
        <sz val="12"/>
        <color indexed="10"/>
        <rFont val="Preeti"/>
      </rPr>
      <t xml:space="preserve"> sf]] ‰ofn, 9f]sf tyf </t>
    </r>
    <r>
      <rPr>
        <b/>
        <sz val="10"/>
        <color indexed="10"/>
        <rFont val="Arial"/>
        <family val="2"/>
      </rPr>
      <t>wall partition</t>
    </r>
    <r>
      <rPr>
        <b/>
        <sz val="12"/>
        <color indexed="10"/>
        <rFont val="Preeti"/>
      </rPr>
      <t xml:space="preserve"> sf lgdf{0f ;fdfu|Lx? </t>
    </r>
    <r>
      <rPr>
        <b/>
        <sz val="10"/>
        <color indexed="10"/>
        <rFont val="Arial"/>
        <family val="2"/>
      </rPr>
      <t>(Certified by ISO 9001-2000, ISO 14001:2004, ISO 527-2:1993, ISO 178:2001, iec 60695-2-11:2001, ASTM D4226-00, 91/338/EEC) Asper approved District rate of 068-069 page no.27 to 28</t>
    </r>
  </si>
  <si>
    <r>
      <t>150 mm dia NP</t>
    </r>
    <r>
      <rPr>
        <vertAlign val="superscript"/>
        <sz val="10"/>
        <rFont val="Arial"/>
        <family val="2"/>
      </rPr>
      <t xml:space="preserve">2 </t>
    </r>
    <r>
      <rPr>
        <sz val="10"/>
        <rFont val="Arial"/>
        <family val="2"/>
      </rPr>
      <t>RCC Hume pipe including collar with all complete.</t>
    </r>
  </si>
  <si>
    <r>
      <t>Fixing /laying 200 mm dia NP</t>
    </r>
    <r>
      <rPr>
        <vertAlign val="superscript"/>
        <sz val="10"/>
        <rFont val="Arial"/>
        <family val="2"/>
      </rPr>
      <t xml:space="preserve">2 </t>
    </r>
    <r>
      <rPr>
        <sz val="10"/>
        <rFont val="Arial"/>
        <family val="2"/>
      </rPr>
      <t>RCC Hume pipe with collar including 1:4 cement sand mortar all complete.</t>
    </r>
  </si>
  <si>
    <t xml:space="preserve"> of Kitchen sink stainless steel 90 cm long  and instruction all complete. EXCEPT PILLER COCK</t>
  </si>
  <si>
    <t xml:space="preserve"> Kitchen sink stainless steel 90 cm long. EXCEPT PILLER COCK</t>
  </si>
  <si>
    <t xml:space="preserve"> 500lit with 5panel(1800x900mm) solar panel with 4 K.W electric booster complete set.</t>
  </si>
  <si>
    <t xml:space="preserve"> of 110 PVC pipe of 6 kg/cm2  and instruction all complete.</t>
  </si>
  <si>
    <t xml:space="preserve"> of 150 PVC pipe of 4 kg/cm2  and instruction all complete.</t>
  </si>
  <si>
    <t>C.P.  Wash basin Hot and Cold 15 mm dia. Basin mixer</t>
  </si>
  <si>
    <t>15mm dia galvanized Iron (GI) pipe  with necessary hardware  all complete.(Heavy)</t>
  </si>
  <si>
    <t xml:space="preserve"> 20mm dia galvanized Iron (GI) pipe with necessary hardware  all complete.(Heavy)</t>
  </si>
  <si>
    <t xml:space="preserve"> 25mm dia galvanized Iron (GI) pipe  with necessary hardware  all complete.(Heavy)</t>
  </si>
  <si>
    <t xml:space="preserve"> 32mm dia galvanized Iron (GI) pipe  with necessary hardware  all complete.(Heavy)</t>
  </si>
  <si>
    <t>8" Globe type Post top lamp complete set Homedec,DECON or ISI eqv..</t>
  </si>
  <si>
    <t>10" Globe type Post top lamp complete set Homedec,DECON or ISI eqv..</t>
  </si>
  <si>
    <t>Exit Light safty sign</t>
  </si>
  <si>
    <t>IS 3043 Copper Plate 80x80x3.15</t>
  </si>
  <si>
    <t>IS 3043 Copper Plate 65x65x3.15</t>
  </si>
  <si>
    <t>G.NO 8 Plastic Coated Cu. Wire</t>
  </si>
  <si>
    <t>9 Meter Steel Tubelar Pole ( Bottom 134mm dia,3300mm ht,155mm dia 2250mm ht,90mm dia 2250 ht and 76mm dia 1650mm ht with over lapping of 200mm,150mm,100mm respectively)</t>
  </si>
  <si>
    <t>7 Meter Steel Tubelar Pole ( Bottom 115mm dia,3300mm ht,90mm dia 2400mm ht, and 76mm dia 1650mm ht with over lapping of 200mm,150mm,100mm respectively)</t>
  </si>
  <si>
    <t>7 Meter Steel Tubelar Pole ( Bottom 115mm dia,3100mm ht,90mm dia 2300mm ht, and 76mm dia 1600mm ht with WELDED joints.</t>
  </si>
  <si>
    <t>Concelled Wiring</t>
  </si>
  <si>
    <t>1.5mm2 PVC insulated copper wire</t>
  </si>
  <si>
    <t>2.5mm2 PVC insulated copper wire</t>
  </si>
  <si>
    <t>4.0mm2 PVC insulated copper wire</t>
  </si>
  <si>
    <t>6.0mm2 PVC insulated copper wire</t>
  </si>
  <si>
    <t>10.0mm2PVC insulated copper wire</t>
  </si>
  <si>
    <t>Surface Wiring</t>
  </si>
  <si>
    <t>Multistrand Flexible wire( 1 coil=91.44M)</t>
  </si>
  <si>
    <t>4mm2 4 core Nepal, Prakash Or NS</t>
  </si>
  <si>
    <t>6 mm2 4 core Nepal, Prakash Or NS</t>
  </si>
  <si>
    <t>10 mm2 4 core Nepal, Prakash Or NS</t>
  </si>
  <si>
    <t>16 mm2 4 core Nepal, Prakash Or NS</t>
  </si>
  <si>
    <t>25 mm2 4 core Nepal, Prakash Or NS</t>
  </si>
  <si>
    <t>4 mm22 core Nepal, Prakash Or NS</t>
  </si>
  <si>
    <t>16 mm2 Cable Shoe</t>
  </si>
  <si>
    <t>1 Gang 1 Two way Switch F.</t>
  </si>
  <si>
    <t>3 Gang one way Switch  F</t>
  </si>
  <si>
    <t xml:space="preserve">Supplying and laying of Godawari(30cm.x30cm) marbal in cement sand motar (1:2) ratio with approved colour on floors, skirting and wall s all complete. </t>
  </si>
  <si>
    <t xml:space="preserve">Supplying and laying of 16mm thick granite in cement sand motar (1:2) ratio with approved colour on floors, skirting and wall s all complete. </t>
  </si>
  <si>
    <t>Supplying and applying white cement putty on ceiling and wall with line and level all complete</t>
  </si>
  <si>
    <t>Supplying and laying 100mm long 12mmthick parquate skirting in line and level with painting all complete.</t>
  </si>
  <si>
    <t>Supplying and fitting 100x75mm sal/sisau hand rail on 150x150mm special post,75x75mm sal wood baluster for railling all complete.</t>
  </si>
  <si>
    <t>-%nfOg l;wf,@ nfOg t];f]{ / ;fn sf7sf] kf]n ;lxt_</t>
  </si>
  <si>
    <t>nufpg] sfd O{+6f pknAw ug]{, d;nf tof/ u/L d;nfdf uf/f] nufpg] sfd</t>
  </si>
  <si>
    <t>#) dL6/;Dd 9'jfgL ;lxt</t>
  </si>
  <si>
    <t>s_ l;kfn'</t>
  </si>
  <si>
    <t>6f/km]N6</t>
  </si>
  <si>
    <t>b'O{ tx 6f/km]N6 nufpg] sfd .</t>
  </si>
  <si>
    <t>8]Dk k|'km u|]8 6f/km]N8 Ps tx nufpg] .</t>
  </si>
  <si>
    <t xml:space="preserve">&gt;lds </t>
  </si>
  <si>
    <t>HofdL</t>
  </si>
  <si>
    <t>!)–!@</t>
  </si>
  <si>
    <t>6fOn 5fgf eTsfO{ To;af6 ePsf] 6fOn sf7 cflb !) dL= k/ ;fg{ nufO{</t>
  </si>
  <si>
    <t>/fd|/L yGsfpg] sfd .</t>
  </si>
  <si>
    <t>x6fpg] sfd .</t>
  </si>
  <si>
    <t>xv) Special addittive CZ-500</t>
  </si>
  <si>
    <t>Bridge  Materials</t>
  </si>
  <si>
    <t>i) Structural Steel with Fabrication</t>
  </si>
  <si>
    <t>Kg</t>
  </si>
  <si>
    <t xml:space="preserve">ii) Reinforcement Steel </t>
  </si>
  <si>
    <t>iii) Cutting and Bending</t>
  </si>
  <si>
    <t>iv) Φ 13 mm thimble</t>
  </si>
  <si>
    <t>Pc</t>
  </si>
  <si>
    <t>v) Φ 26 mm thimble</t>
  </si>
  <si>
    <t>vi) Φ 32 mm thimble</t>
  </si>
  <si>
    <t>vii) Φ 36 mm thimble</t>
  </si>
  <si>
    <t>viii) Φ 40 mm thimble</t>
  </si>
  <si>
    <t>ix) Φ 13 mm Bulldog grip</t>
  </si>
  <si>
    <t>x) Φ 26 mm Bulldog grip</t>
  </si>
  <si>
    <t>xi) Φ 32 mm Bulldog grip</t>
  </si>
  <si>
    <t>xii) Φ 36 mm Bulldog grip</t>
  </si>
  <si>
    <t>xiii) Φ 40 mm Bulldog grip</t>
  </si>
  <si>
    <t>a) Φ 13 mm Wire rope</t>
  </si>
  <si>
    <t>m</t>
  </si>
  <si>
    <t>&gt;lds cfO6d g+= !)–!&amp;cg';f/ lnOPsf]</t>
  </si>
  <si>
    <t>Ps sf]6 c:t/ u/L b'O{ sf]6 Pk]S; k]G6 ug]{ sfd .</t>
  </si>
  <si>
    <t>%]l:sgL 150 dL=dL=</t>
  </si>
  <si>
    <t xml:space="preserve">9'Ëfsf] uf/f] l;d]G6 d;nf -!M$_ df  =============================================================================================   </t>
  </si>
  <si>
    <t xml:space="preserve">9'Ëfsf] uf/f] l;d]G6 d;nf -!M^_ df  =============================================================================================   </t>
  </si>
  <si>
    <t>Ps tx Knfli6s km]N6 nufpg] sfd .</t>
  </si>
  <si>
    <t>Knfli6s km]N6</t>
  </si>
  <si>
    <t>?lkmË u|]8lj6'ldg</t>
  </si>
  <si>
    <t>v&gt;f] afn'jf vf]nfsf]</t>
  </si>
  <si>
    <t>b'O{ tx Knfli6s km]N6 nufpg] sfd .</t>
  </si>
  <si>
    <t>cfd{:6«f]Ë ldlg/n kmfOj/ af]8{</t>
  </si>
  <si>
    <t>$) dL=dL=9'+uf -qm;\8_ /f]8f</t>
  </si>
  <si>
    <t>@) dL=dL=9'+uf -qm;\8_ /f]8f</t>
  </si>
  <si>
    <t>!) dL=dL=9'+uf -qm;\8_ /f]8f</t>
  </si>
  <si>
    <t>b/ ljZn]if0fsf] nflu !) /=ld= lnOPsf]</t>
  </si>
  <si>
    <t xml:space="preserve"> s]=hL=</t>
  </si>
  <si>
    <t xml:space="preserve"> /=dL=</t>
  </si>
  <si>
    <t xml:space="preserve"> kfs]6</t>
  </si>
  <si>
    <t xml:space="preserve">cu|fv sf7sf] rf}s; agfO hf]8\g] sfd . </t>
  </si>
  <si>
    <t>k'/fgf] ;txdf lnG;L8 cfonn] k'5L tof/L Ogfd]n k]G6 ! sf]6 nufpg] sfd .</t>
  </si>
  <si>
    <t>l;d]G6 jf jh|df hf]8]sf] uf/f] eTsfO{ To;af6 cfPsf] ;fdfu+|L !) dL= x6fpg] sfd .</t>
  </si>
  <si>
    <t>kf]/l;nLg Un]H8 6fO{n -!M$_ l;d]G6 af=df af]8/ ;lxt =======================================================================</t>
  </si>
  <si>
    <t>af]8/ 6fOn</t>
  </si>
  <si>
    <t>!!–&amp; s</t>
  </si>
  <si>
    <t>A very effective water proof polymer based coating for heavy duty jobs. Two coats are recommended with a fiber mesh layer in between, to enhance strength and bond.</t>
  </si>
  <si>
    <t>sq.ft.</t>
  </si>
  <si>
    <t>WAPCOT</t>
  </si>
  <si>
    <t>A silicone based water repellant. It is to be sprayed on dry walls to check seepage, fungus growth, salt-peter actions etc. Remains effective over the years.</t>
  </si>
  <si>
    <t>OPAL – GROUT</t>
  </si>
  <si>
    <t>An excellent grouting material for injection grouting under pressure through nozzles using a 30 psi pump. Very effective in concrete /masonary works.</t>
  </si>
  <si>
    <t>OPAL – PROOF:</t>
  </si>
  <si>
    <t>It is a concrete/mortar admixture in liquid form that acts as a highly efficient plasticizer and water proofing compound. It conforms to IS:2645:1975</t>
  </si>
  <si>
    <t>ltr.</t>
  </si>
  <si>
    <t>OPAL – XCEL</t>
  </si>
  <si>
    <t>Rubble masonry work in inclined level in 1:3 C/S mortar.</t>
  </si>
  <si>
    <t>tLg sf]6 rk|f kflnz nufpg] sfd =======================================================================</t>
  </si>
  <si>
    <t xml:space="preserve">;Nnf] s' sf&amp; </t>
  </si>
  <si>
    <t xml:space="preserve"> ('+ufsf] #"nf]</t>
  </si>
  <si>
    <t>-jfF;, e¥ofË, 8f]/L cflb_</t>
  </si>
  <si>
    <r>
      <t xml:space="preserve">k'/fgf] b/jf/sf] jflx/L efudf Pssf]6 /fdltnsn] kf]Tg] sfd . </t>
    </r>
    <r>
      <rPr>
        <sz val="12"/>
        <rFont val="Arial"/>
        <family val="2"/>
      </rPr>
      <t/>
    </r>
  </si>
  <si>
    <t>tof/L OdN;g</t>
  </si>
  <si>
    <t>c:t/ jfx]s b'O{ sf]6 Knfli6s OdN;g k]G6 ug]{ sfd .</t>
  </si>
  <si>
    <t>c:t/ jfx]s b'O{sf]6 tof/L Ogfd]n k]G6 ug]{ sfd .</t>
  </si>
  <si>
    <t>Ruled pointing work in  (1:2) cement sand mortar on brick works with good finish including curing as per instruciton all complete.</t>
  </si>
  <si>
    <t>Ruled pointing work in  (1:2) cement sand mortar on brick works.</t>
  </si>
  <si>
    <t>Flush pointing work in  (1:3) cement sand mortar on brick works with good finish including curing as per instruciton all complete.</t>
  </si>
  <si>
    <t>Flush pointing work in  (1:3) cement sand mortar on brick works.</t>
  </si>
  <si>
    <t>Ruled pointing work in  (1:3) cement sand mortar on brick works with good finish including curing as per instruciton all complete.</t>
  </si>
  <si>
    <t>Ruled pointing work in  (1:3) cement sand mortar on brick works.</t>
  </si>
  <si>
    <t>Ruled pointing work in  (1:1) cement sand mortar on boulder stone work with good finish including curing as per instruciton all complete.</t>
  </si>
  <si>
    <t>40 dL=dL= /f]*f</t>
  </si>
  <si>
    <t>20 dL=dL= /f]*f</t>
  </si>
  <si>
    <r>
      <t>i)</t>
    </r>
    <r>
      <rPr>
        <sz val="14"/>
        <rFont val="Times New Roman"/>
        <family val="1"/>
      </rPr>
      <t xml:space="preserve"> </t>
    </r>
    <r>
      <rPr>
        <sz val="12"/>
        <rFont val="Preeti"/>
      </rPr>
      <t xml:space="preserve"> e¥ofËsf] /]lnË tyf afb{nL cflbdf s'FlbPsf] :yfgLo ;L;f} sf7sf] x'Ssf </t>
    </r>
    <r>
      <rPr>
        <sz val="12"/>
        <rFont val="Times New Roman"/>
        <family val="1"/>
      </rPr>
      <t>(2'-6"x3"x3")</t>
    </r>
  </si>
  <si>
    <r>
      <t>ii)</t>
    </r>
    <r>
      <rPr>
        <sz val="14"/>
        <rFont val="Times New Roman"/>
        <family val="1"/>
      </rPr>
      <t xml:space="preserve"> </t>
    </r>
    <r>
      <rPr>
        <sz val="12"/>
        <rFont val="Preeti"/>
      </rPr>
      <t xml:space="preserve"> e¥ofËsf] /]lnË tyf afb{nL cflbdf s'FlbPsf] h+unL :k]zn ;L;f} sf7sf] x'Ssf </t>
    </r>
    <r>
      <rPr>
        <sz val="12"/>
        <rFont val="Times New Roman"/>
        <family val="1"/>
      </rPr>
      <t>(2'-6"x3"x3")</t>
    </r>
  </si>
  <si>
    <r>
      <t>iii)</t>
    </r>
    <r>
      <rPr>
        <sz val="14"/>
        <rFont val="Times New Roman"/>
        <family val="1"/>
      </rPr>
      <t xml:space="preserve"> </t>
    </r>
    <r>
      <rPr>
        <sz val="12"/>
        <rFont val="Preeti"/>
      </rPr>
      <t xml:space="preserve"> e¥ofËsf] /]lnË tyf afb{nL cflbdf s'FlbPsf] ;L;f} sf7sf] x]08 /]n </t>
    </r>
    <r>
      <rPr>
        <sz val="12"/>
        <rFont val="Times New Roman"/>
        <family val="1"/>
      </rPr>
      <t>(3"x4")</t>
    </r>
  </si>
  <si>
    <r>
      <t>iv)</t>
    </r>
    <r>
      <rPr>
        <sz val="14"/>
        <rFont val="Times New Roman"/>
        <family val="1"/>
      </rPr>
      <t xml:space="preserve"> </t>
    </r>
    <r>
      <rPr>
        <sz val="12"/>
        <rFont val="Preeti"/>
      </rPr>
      <t xml:space="preserve"> e¥ofËsf] /]lnËsf] 3'Dg] 7fpFdf s'FlbPsf] ;L;f} sf7sf] uf]nf] x]08 /]n </t>
    </r>
    <r>
      <rPr>
        <sz val="12"/>
        <rFont val="Times New Roman"/>
        <family val="1"/>
      </rPr>
      <t>(3"x4")</t>
    </r>
  </si>
  <si>
    <r>
      <t>v)</t>
    </r>
    <r>
      <rPr>
        <sz val="14"/>
        <rFont val="Preeti"/>
      </rPr>
      <t xml:space="preserve"> </t>
    </r>
    <r>
      <rPr>
        <sz val="12"/>
        <rFont val="Preeti"/>
      </rPr>
      <t>b]jL b]jtfsf] d'lt{ s'FlbPsf]  $… b]lv %… nfdf]  -#Æ</t>
    </r>
    <r>
      <rPr>
        <sz val="12"/>
        <rFont val="Times New Roman"/>
        <family val="1"/>
      </rPr>
      <t>x</t>
    </r>
    <r>
      <rPr>
        <sz val="12"/>
        <rFont val="Preeti"/>
      </rPr>
      <t xml:space="preserve"> *Æ_ ;fn sf7df 6'F8fn agfpg] sfd</t>
    </r>
  </si>
  <si>
    <t xml:space="preserve">Dry wall partition with metal stud providing, fixing, fitting G.I. under frame using GYP steel branded channel and 12.5 mm th . GYP board on both side finishing of joints with compound tape all complete, overall thickness 75 mm  </t>
  </si>
  <si>
    <t>Pressure Grouting</t>
  </si>
  <si>
    <t>i) Providing material &amp; applying pressure grouting on Rcc roof slab.</t>
  </si>
  <si>
    <t xml:space="preserve">Rubble masonry work in inclined level in 1:6 C/S mortar in perfect line level finish including, racking the joints and curing the work for at least 7 days all complete. </t>
  </si>
  <si>
    <t>Rubble masonry work in inclined level in 1:6 C/S mortar.</t>
  </si>
  <si>
    <t xml:space="preserve">Dressed stone masonry in 1:6 C/S mortar in perfect line level finish including, racking the joints and curing the work for at least 7 days all complete. </t>
  </si>
  <si>
    <t>Dressed stone masonry in 1:6 C/S mortar.</t>
  </si>
  <si>
    <t>PVC floor trap 11x7.5 cm.</t>
  </si>
  <si>
    <t>Alumium Gratting 100 mm dia  all complete.</t>
  </si>
  <si>
    <t>CP Gratting 125 mm dia  all complete.</t>
  </si>
  <si>
    <t>CP Gratting 125 mm dia.</t>
  </si>
  <si>
    <t>CP Gratting 110 mm dia  all complete.</t>
  </si>
  <si>
    <t>CP Gratting 110 mm dia.</t>
  </si>
  <si>
    <t>Fixing or laying 150mm dia cast iron (CI) pipe with necessary hardware  all complete.</t>
  </si>
  <si>
    <t>Fixing or laying 150mm dia cast iron (CI) pipe.</t>
  </si>
  <si>
    <t>50 mm dia CI Door Tee</t>
  </si>
  <si>
    <t>50 mm dia CI  P or S Trap</t>
  </si>
  <si>
    <t xml:space="preserve"> 50 mm dia CI  P or S Trap</t>
  </si>
  <si>
    <t>50 mm dia CI  Plain Tee</t>
  </si>
  <si>
    <t xml:space="preserve"> 50 mm dia CI  Plain Tee</t>
  </si>
  <si>
    <t>50 mm dia CI  Y-Branch</t>
  </si>
  <si>
    <t>50 mm dia CI Door bend</t>
  </si>
  <si>
    <t>75 mm dia CI 90 degee bend</t>
  </si>
  <si>
    <t>75 mm dia CI Vent Cowl.</t>
  </si>
  <si>
    <t>75 mm dia CI Door Tee</t>
  </si>
  <si>
    <t xml:space="preserve"> 75 mm dia CI Door Tee</t>
  </si>
  <si>
    <t>75 mm dia CI  P or S Trap</t>
  </si>
  <si>
    <t xml:space="preserve">  75 mm dia CI  P or S Trap</t>
  </si>
  <si>
    <t>75 mm dia CI  Plain Tee</t>
  </si>
  <si>
    <t xml:space="preserve">  75 mm dia CI  Plain Tee</t>
  </si>
  <si>
    <t>75 mm dia CI  Y-Branch</t>
  </si>
  <si>
    <t xml:space="preserve">  75 mm dia CI  Y-Branch</t>
  </si>
  <si>
    <t>75 mm dia CI Door bend</t>
  </si>
  <si>
    <t xml:space="preserve">  75 mm dia CI Door bend</t>
  </si>
  <si>
    <t>110 mm dia CI 90 degee bend</t>
  </si>
  <si>
    <t>110 mm dia CI Vent Cowl.</t>
  </si>
  <si>
    <t>110 mm dia CI Door Tee</t>
  </si>
  <si>
    <t>110 mm dia CI  P or S Trap</t>
  </si>
  <si>
    <t>Fixing/laying 32mm dia  (GI) pipe medium class.</t>
  </si>
  <si>
    <t>40mm dia galvanized Iron (GI) pipe medium class includes fixing/laying with necessary hardware  all complete.</t>
  </si>
  <si>
    <t>Fixing/laying 40mm dia  (GI) pipe medium class.</t>
  </si>
  <si>
    <t>50mm dia galvanized Iron (GI) pipe medium class includes fixing/laying with necessary hardware  all complete.</t>
  </si>
  <si>
    <t>Fixing/laying 50mm dia  (GI) pipe medium class.</t>
  </si>
  <si>
    <t>80mm dia galvanized Iron (GI) pipe medium class includes fixing/laying with necessary hardware  all complete.</t>
  </si>
  <si>
    <t>Fixing/laying 80mm dia  (GI) pipe medium class.</t>
  </si>
  <si>
    <t>Filling 50mm lead caulked joint @ 3 lbs per joint  all complete.</t>
  </si>
  <si>
    <t>50mm lead caulked joint @ 3 lbs per joint.</t>
  </si>
  <si>
    <t>Filling 75mm lead caulked joint @ 3 lbs per joint  all complete.</t>
  </si>
  <si>
    <t>One layer damp proof grade Tarfelt laying over evenly spread roofing grade bitumen with river sand on cleaned surface.</t>
  </si>
  <si>
    <t>Taking out damaged brick from the wall and replacing new in1:6 CM</t>
  </si>
  <si>
    <t>50 lit electric water heater (Geyser).</t>
  </si>
  <si>
    <r>
      <t>@%</t>
    </r>
    <r>
      <rPr>
        <sz val="12"/>
        <rFont val="Arial"/>
        <family val="2"/>
      </rPr>
      <t xml:space="preserve"> x</t>
    </r>
    <r>
      <rPr>
        <sz val="12"/>
        <rFont val="Preeti"/>
      </rPr>
      <t xml:space="preserve"> @% </t>
    </r>
    <r>
      <rPr>
        <sz val="12"/>
        <rFont val="Arial"/>
        <family val="2"/>
      </rPr>
      <t>x</t>
    </r>
    <r>
      <rPr>
        <sz val="12"/>
        <rFont val="Preeti"/>
      </rPr>
      <t xml:space="preserve"> $ dL=dL= ;fO{hsf] kmnfd] PËn k|m]dsf] ljrdf !) </t>
    </r>
    <r>
      <rPr>
        <sz val="9"/>
        <rFont val="Arial"/>
        <family val="2"/>
      </rPr>
      <t>S.W.G.G. I. Chain Link</t>
    </r>
    <r>
      <rPr>
        <sz val="12"/>
        <rFont val="Preeti"/>
      </rPr>
      <t xml:space="preserve">  @Æ</t>
    </r>
    <r>
      <rPr>
        <sz val="8"/>
        <rFont val="Arial"/>
        <family val="2"/>
      </rPr>
      <t>x</t>
    </r>
    <r>
      <rPr>
        <sz val="12"/>
        <rFont val="Preeti"/>
      </rPr>
      <t xml:space="preserve">@Æ sf] d]; ;fOh hfnL </t>
    </r>
  </si>
  <si>
    <r>
      <t xml:space="preserve">h8fg ug]{ / # </t>
    </r>
    <r>
      <rPr>
        <sz val="9"/>
        <rFont val="Arial"/>
        <family val="2"/>
      </rPr>
      <t>x</t>
    </r>
    <r>
      <rPr>
        <sz val="11"/>
        <rFont val="Arial"/>
        <family val="2"/>
      </rPr>
      <t xml:space="preserve"> </t>
    </r>
    <r>
      <rPr>
        <sz val="12"/>
        <rFont val="Preeti"/>
      </rPr>
      <t>@) sf] kmnfd] kftfsf] lu|n )=!% dL= cUnf] agfO{ dfly h8fg u/L</t>
    </r>
  </si>
  <si>
    <t>15 lit electric water heater (Geyser) Aeroston American Standard, all complete.</t>
  </si>
  <si>
    <t>25 lit electric water heater (Geyser) all complete.</t>
  </si>
  <si>
    <t>25 lit electric water heater (Geyser)</t>
  </si>
  <si>
    <t>35 lit electric water heater (Geyser) all complete.</t>
  </si>
  <si>
    <t>35 lit electric water heater (Geyser).</t>
  </si>
  <si>
    <t>Small Lavoratary Sink 45X30x15cm with brackets 32mm bottle trap, 32mm CP waste coupling with CP chain and rubber plug, 15mm fancy type piller cock and  ½"x18" pipe connector etc  all complete.</t>
  </si>
  <si>
    <t>Small Lavoratary Sink 45X30x15cm complete set.</t>
  </si>
  <si>
    <t>Lavoratary Sink 53X43x18cm with brackets 32mm bottle trap, 32mm CP waste coupling with CP chain and rubber plug, 15mm fancy type piller cock and  ½"x18" pipe connector etc  all complete.</t>
  </si>
  <si>
    <t>Lavoratary Sink 53X43x18cm complete set.</t>
  </si>
  <si>
    <t>Kitchen sink 60X45X25cm  with brackets,32mm bottle trap, 32mm CP waste coupling all complete set .</t>
  </si>
  <si>
    <t>Kitchen sink 60X45X25cm complete set .</t>
  </si>
  <si>
    <t>Urinal 46.5X35.5X26.5cm constallation type with necessary accessories all complete set .</t>
  </si>
  <si>
    <t>Urinal 46.5X35.5X26.5cm White glazed constallation type with complete set .</t>
  </si>
  <si>
    <t>Urinal 46.5X31.5X26.5cm  first color constallation type with necessary accessories all complete set .</t>
  </si>
  <si>
    <t>Urinal 46.5X35.5X26.5cm first color constallation type with complete set .</t>
  </si>
  <si>
    <t>White glazed Urinal 46.5X31.5X26.5cm   with necessary accessories all complete set .</t>
  </si>
  <si>
    <t>50 mm2 4 core Nepal, Prakash Or NS</t>
  </si>
  <si>
    <t>16 Amp big button switch Socket.</t>
  </si>
  <si>
    <t>Bell push 6 Amp( Net West)</t>
  </si>
  <si>
    <t>Socket 16 A &amp; 6 A- 6 pin(shutter- Net West)</t>
  </si>
  <si>
    <t>One gang module plate</t>
  </si>
  <si>
    <t>Two gang module plate</t>
  </si>
  <si>
    <t>Three gang module plate</t>
  </si>
  <si>
    <t>Four gang module plate</t>
  </si>
  <si>
    <t xml:space="preserve">Dimmer 300 /500 watt. </t>
  </si>
  <si>
    <t>4 Way single phaseDB double door.</t>
  </si>
  <si>
    <t>4 Way single phase DB Single door.</t>
  </si>
  <si>
    <t>12 Way single phase DB Double Door.</t>
  </si>
  <si>
    <t>12 Way single phase DB Single Door.</t>
  </si>
  <si>
    <t>4 WayThree phaseDB double door.</t>
  </si>
  <si>
    <t>4 WayThree phaseDBSingle door.</t>
  </si>
  <si>
    <t>6 WayThree phaseDB Double door.</t>
  </si>
  <si>
    <t>6 WayThreephaseDB Singledoor.</t>
  </si>
  <si>
    <t>1x40 Box Type Tube Light. Orant lighting</t>
  </si>
  <si>
    <t>2x40 Box Type Tube Light. Orant lighting</t>
  </si>
  <si>
    <t>1x40 Mirror Optic Tube Light. Orant lighting</t>
  </si>
  <si>
    <t>2x40 Mirror Optic Tube Light. Orant lighting</t>
  </si>
  <si>
    <t>0.02885/1.1/6x0.75=0.039</t>
  </si>
  <si>
    <t>8/15x0.75=0.40</t>
  </si>
  <si>
    <t xml:space="preserve">uf/f]sf] df]x8fdf lju|]sf] O{6f lgsfnL l;d]G6 afn'jf -!M^_ df </t>
  </si>
  <si>
    <t>uf/f] dd{t ug]{ sfd .</t>
  </si>
  <si>
    <t>l;kfn'</t>
  </si>
  <si>
    <t>! Gf+ sf] O{6f</t>
  </si>
  <si>
    <t>GI barbed wire fencing work</t>
  </si>
  <si>
    <t>Placing salwood Post @ 3m and 5 layer + 2layer diagonal barbed wire fencing work</t>
  </si>
  <si>
    <t xml:space="preserve">M.S.black pipe roof truss with I.S. or B.S. section including jointing, fixing, erection and primer painting with all necessary M.S. bed plates, shoe angles anchor bolts leas sheeting or cement grouting as per drawing and instructions, all complete . </t>
  </si>
  <si>
    <t>M.S.black pipe roof truss with primer painting with all necessary M.S. bed plates, shoe angles anchor bolts leas.</t>
  </si>
  <si>
    <t>Dry wall partition with metal stud :</t>
  </si>
  <si>
    <t>@ s</t>
  </si>
  <si>
    <t>Providing fitting, fixing G.I. under frame, using GYPSTEEL branded</t>
  </si>
  <si>
    <t xml:space="preserve">k|lt !))) ln=÷! 3=dL= </t>
  </si>
  <si>
    <t xml:space="preserve">k|lt 3G6f </t>
  </si>
  <si>
    <t>afn'jf vf]nfsf]</t>
  </si>
  <si>
    <t>v6sf] ;ffdfg</t>
  </si>
  <si>
    <t>uf]6f</t>
  </si>
  <si>
    <t>d]=6=</t>
  </si>
  <si>
    <t>!–&amp;</t>
  </si>
  <si>
    <t>e'O{tNnfdf d]lzgåf/f agfOPsf] O{6f pknAw ug]{,</t>
  </si>
  <si>
    <t>tof/L /+u</t>
  </si>
  <si>
    <t>sfo{ ;d'x</t>
  </si>
  <si>
    <t>sfdsf] ljj/)f</t>
  </si>
  <si>
    <t>v</t>
  </si>
  <si>
    <t>u</t>
  </si>
  <si>
    <t>#</t>
  </si>
  <si>
    <t>ª</t>
  </si>
  <si>
    <t>r</t>
  </si>
  <si>
    <t>%</t>
  </si>
  <si>
    <t>h</t>
  </si>
  <si>
    <t>em</t>
  </si>
  <si>
    <t>`</t>
  </si>
  <si>
    <t>^</t>
  </si>
  <si>
    <t>&amp;</t>
  </si>
  <si>
    <t>*</t>
  </si>
  <si>
    <t>(</t>
  </si>
  <si>
    <t>)f</t>
  </si>
  <si>
    <t>t</t>
  </si>
  <si>
    <t xml:space="preserve"> s </t>
  </si>
  <si>
    <t>df6f] sf6\g] / k'g]{ sfd</t>
  </si>
  <si>
    <t>O{+6fsf] sfd</t>
  </si>
  <si>
    <t>9'Ëfsf] sfd</t>
  </si>
  <si>
    <t>l;d]G6 s+qmL6sf] sfd</t>
  </si>
  <si>
    <t>kmdf{sf] sfd</t>
  </si>
  <si>
    <t>5fgfsf] sfd</t>
  </si>
  <si>
    <t>sf7sf] sfd</t>
  </si>
  <si>
    <t>ˆnf]l/Ësf] sfd</t>
  </si>
  <si>
    <t>/+u /f]ugsf] sfd</t>
  </si>
  <si>
    <t>l6Ksf/ ug]{ sfd</t>
  </si>
  <si>
    <t>jf6/ k|'lkm+u ug]{ sfd</t>
  </si>
  <si>
    <t>dd{t ;DaGwL sfd</t>
  </si>
  <si>
    <t>kmnfdsf] sfd</t>
  </si>
  <si>
    <t>gofF sfd</t>
  </si>
  <si>
    <t>*–!#</t>
  </si>
  <si>
    <t>!$–@(</t>
  </si>
  <si>
    <t>#)–#(</t>
  </si>
  <si>
    <t>$)–$&amp;</t>
  </si>
  <si>
    <t>$*–%#</t>
  </si>
  <si>
    <t>%$–^!</t>
  </si>
  <si>
    <t>^@–*^</t>
  </si>
  <si>
    <t>*&amp;–!!$</t>
  </si>
  <si>
    <t>!!%–!@$</t>
  </si>
  <si>
    <t>!@%–!%!</t>
  </si>
  <si>
    <t>!%@–!^^</t>
  </si>
  <si>
    <t>!^&amp;–!&amp;$</t>
  </si>
  <si>
    <t>!&amp;%–!*@</t>
  </si>
  <si>
    <t>!*#–!()</t>
  </si>
  <si>
    <t>km\n]u:^f]g (+'uf 62=5 dL=dL= ;km]{; *|];</t>
  </si>
  <si>
    <t>#=dL=</t>
  </si>
  <si>
    <t>sfo{ ;d"x …7Ú M– l6Ksf/ ug]{ sfd</t>
  </si>
  <si>
    <t xml:space="preserve"> 3HP Electric motor Pump monoblock ( crompton)</t>
  </si>
  <si>
    <t>3HP Electric motor Pump monoblock ( crompton)</t>
  </si>
  <si>
    <t xml:space="preserve"> 5HP Electric motor Pump monoblock ( crompton)</t>
  </si>
  <si>
    <t>Supply and fixing of  C.P. Flush Valve Americand Standard</t>
  </si>
  <si>
    <t>Supply and fixing of Sensor Flush Valve for Urinal Americand Standard</t>
  </si>
  <si>
    <t>C.P. Bibcock 15mm dia heavy type</t>
  </si>
  <si>
    <t>Ordinary type C.P. Bibcock 15mm dia.</t>
  </si>
  <si>
    <t>0.50mm GI plain sheet for gutter on roofing including fixing in proper shape &amp; size with all necessary rails, screws, bolts &amp; nuts washers, J &amp; L hocks etc as per drawing &amp; instruction all complete.</t>
  </si>
  <si>
    <t>1.2 mm corrugated fiber glass sheet roofing including fixing in proper shape &amp; size with all necessary rails, screws, bolts &amp; nuts washers, J &amp; L hocks etc as per drawing &amp; instruction all complete.</t>
  </si>
  <si>
    <t>1.2 mm corrugated fiber glass sheet roofing.</t>
  </si>
  <si>
    <t xml:space="preserve"> OVAL  wash basin 55X40mm with brackets 32mm bottle trap, 32mm CP waste coupling with CP chain and rubber plug,  and  ½"x18" pipe connector etc  all complete.(super constellation type , colour)</t>
  </si>
  <si>
    <t>C P soap tray, Towel rod, toilet paper holder  heavy type(Jaquar)</t>
  </si>
  <si>
    <t>CP comode hygenic spray heavy type(Jaquar)</t>
  </si>
  <si>
    <t>CP Angle  valve heavy type(Jaquar)</t>
  </si>
  <si>
    <t xml:space="preserve"> beveled edge looking mirror of high quality with boarder, </t>
  </si>
  <si>
    <t>CP wash basin mixer  hot and cold heavy type(Jaquar)</t>
  </si>
  <si>
    <t xml:space="preserve">Porcelain clay white galzed European pattern american standard Comode (Cotto or eq.) with 10 lts. low level cistern and seat cover </t>
  </si>
  <si>
    <t>Cleaning old surface with linsid oil and ready made enamel painting work</t>
  </si>
  <si>
    <t>Dismentaling of old lime surkhi / cement Sand plaster including disposal of the debris out of site.</t>
  </si>
  <si>
    <t>Dismantling of roof tile in cement mortar including disposal of the debris out of site .</t>
  </si>
  <si>
    <t>Dismantling of roof tile in cement mortar including disposal of the debris out of site.</t>
  </si>
  <si>
    <t>Dismantling of existing brickwork in mud mortar including disposal of the debris out of site .</t>
  </si>
  <si>
    <t>Dismantling of existing brickwork in mud mortar including disposal of the debris out of site.</t>
  </si>
  <si>
    <t>Dismantling of existing brickwork in cement / lime surkhi mortar including disposal of the debris out of site .</t>
  </si>
  <si>
    <t>Dismantling of existing brickwork in cement / lime surkhi mortar including disposal of the debris out of site.</t>
  </si>
  <si>
    <t xml:space="preserve">Dismantling of  RCC work including disposal of the debris out of site . </t>
  </si>
  <si>
    <t>Dismantling of  RCC work including disposal of the debris out of site.</t>
  </si>
  <si>
    <t>!@=% dL=dL= r'gf ;'sL{ Knfi6/ -!M@_ efudf sfd ug]{ .</t>
  </si>
  <si>
    <t>Boarder tile</t>
  </si>
  <si>
    <t>C P Shower rail (Eoropean pattern)</t>
  </si>
  <si>
    <t>C P shower rose (Eoropean pattern)</t>
  </si>
  <si>
    <t>Dismelting existing soil pipe and waste pipe</t>
  </si>
  <si>
    <t>IPWC comode with cistern and comode seat cover all complete set (Constellation)</t>
  </si>
  <si>
    <t>M.S cover 24"x24" with locling arrangement</t>
  </si>
  <si>
    <t>25mm dia G I pipe</t>
  </si>
  <si>
    <t xml:space="preserve">25mm socket </t>
  </si>
  <si>
    <t>25mm Union</t>
  </si>
  <si>
    <t>Construction of manhole as per drawing and specification</t>
  </si>
  <si>
    <t>Ordanary type mortise lock</t>
  </si>
  <si>
    <t>Cistern cell</t>
  </si>
  <si>
    <t>Pvc bottle trap</t>
  </si>
  <si>
    <t>1100.0 Ltr horizantal pvc water tank</t>
  </si>
  <si>
    <t>Hydraulic door closer</t>
  </si>
  <si>
    <t>C.p . Spreader</t>
  </si>
  <si>
    <t>Name plate (Toilet) in plain sheet</t>
  </si>
  <si>
    <t>Basin mirror</t>
  </si>
  <si>
    <t>1gang 1way switch</t>
  </si>
  <si>
    <t>Chicken wire mesh</t>
  </si>
  <si>
    <t>1x40  Watt F.T.L Mirror Optic HPF Phillips/Wipro/GE  or equivalent</t>
  </si>
  <si>
    <t xml:space="preserve">Machine made  Brickwork in 1:5 C/S mortar up to ground floor in perfect line level finish including wetting the bricks, racking the joints and curing the work for at least 7 days all complete. </t>
  </si>
  <si>
    <t>Machine made  Brickwork in 1:5 C/S mortar up to ground floor.</t>
  </si>
  <si>
    <t xml:space="preserve">Machine made  Brickwork in 1:5 C/S mortar in superstructure in perfect line level finish including wetting the bricks, racking the joints and curing the work for at least 7 days all complete. </t>
  </si>
  <si>
    <t>Machine made  Brickwork in 1:5 C/S mortar in superstructure.</t>
  </si>
  <si>
    <t>Dismantling of P.C.C./L.C.C. work  including disposal of the debris out of site.</t>
  </si>
  <si>
    <t xml:space="preserve"> 3x20mm size M.S. grill with almunium paints as per design and instruction all complete.</t>
  </si>
  <si>
    <t xml:space="preserve"> 3x20mm size M.S. grill with almunium paints.</t>
  </si>
  <si>
    <t>Acrylic type bath tub 5'6"x2'6" size all complete.</t>
  </si>
  <si>
    <t>Acrylic type bath tub 5'6"x2'6" size.</t>
  </si>
  <si>
    <t>CP telephonic shower with mixer all complete.</t>
  </si>
  <si>
    <t>CP telephonic shower with mixer.</t>
  </si>
  <si>
    <t>Acrylic type shower tray all complete.</t>
  </si>
  <si>
    <t>Acrylic type shower tray.</t>
  </si>
  <si>
    <t>Euro guard filter.</t>
  </si>
  <si>
    <t>Kitchen sink stainless steel 90 cm long all complete.</t>
  </si>
  <si>
    <t>Kitchen sink stainless steel 90 cm long.</t>
  </si>
  <si>
    <t>Kitchen sink stainless steel 150 cm long all complete.</t>
  </si>
  <si>
    <t>Kitchen sink stainless steel 150 cm long.</t>
  </si>
  <si>
    <t>$ dL=dL= P]gf</t>
  </si>
  <si>
    <t>2x40  Watt F.T.L Mirror Optic HPFPhillips/Wipro/GE  or equivalent</t>
  </si>
  <si>
    <t>300/500 Watt Halogen Phillips/Wipro/GE  or equivalent</t>
  </si>
  <si>
    <t>1000 Watt Halogen Phillips/Wipro/GE  or equivalent</t>
  </si>
  <si>
    <t>3 mm thick cement sand punning on floor, skriting, dado etc, including mixing laying and rubbing with steel trowel to a hard, smooth and shining surface and curing all complete.</t>
  </si>
  <si>
    <t>3 mm thick cement sand punning on floor, skriting, dado etc.</t>
  </si>
  <si>
    <t>Chrome plated 15mm dia x450mm long heavy quality towel rod</t>
  </si>
  <si>
    <t>C p 15mm dia x450mm long  towel rod.</t>
  </si>
  <si>
    <t>Supply and fixing of 60 cm CP Glass Shelf</t>
  </si>
  <si>
    <t>60 cm CP Glass Shelf</t>
  </si>
  <si>
    <t>Supply and fixing of Porceline Clay Glass Shelf European Pattern, American Standard.</t>
  </si>
  <si>
    <t xml:space="preserve"> 55X40cm beveled edge looking mirror of high quality,</t>
  </si>
  <si>
    <t>55X40cm beveled edge looking mirror of high quality, standard brand.</t>
  </si>
  <si>
    <t xml:space="preserve"> 60X45cm beveled edge looking mirror of high quality modiguard or standard brand.</t>
  </si>
  <si>
    <t>60X 45cm beveled edge looking mirror of high quality, modiguard or standard brand.</t>
  </si>
  <si>
    <t xml:space="preserve"> 50X40cm beveled edge  looking mirror of high quality </t>
  </si>
  <si>
    <t xml:space="preserve"> 50X40cm beveled edge  looking mirror of high quality modiguard or eq.</t>
  </si>
  <si>
    <t xml:space="preserve">  50X40cm Beveled edge  looking mirror of high quality European Pattern, American Standard</t>
  </si>
  <si>
    <t xml:space="preserve">Chrome plate shower rose 7.5 cm dia of standard brand </t>
  </si>
  <si>
    <t>Chrome plate shower rose 7.5 cm dia of standard brand.</t>
  </si>
  <si>
    <t>Pressure Adjustable Shower rose</t>
  </si>
  <si>
    <t xml:space="preserve">Supply and fixing of Ordinary type C.P. shower rose </t>
  </si>
  <si>
    <t xml:space="preserve">M/F suspended ceiling with MPL board for CGI roofing </t>
  </si>
  <si>
    <t>White glazed earthenware Indian pattern W C  530mm Orissa Pan with 3.0gallons low level flushing cistern with complete accessories including bracket, flushing pipe,pipe connector etc. all complete set</t>
  </si>
  <si>
    <t>White glazed earthenware Indian pattern W C  530mm Orissa Pan with 10 liter low level flushing cistern .</t>
  </si>
  <si>
    <t>White glazed earthenware Indian pattern W C  580mm Orissa Pan  complete set</t>
  </si>
  <si>
    <t>580mm Orissa pan complete set</t>
  </si>
  <si>
    <t xml:space="preserve"> 10.0 lit. low level Porceline clay cistern complete set</t>
  </si>
  <si>
    <t>10.0 lit. low level Porceline clay cistern</t>
  </si>
  <si>
    <t xml:space="preserve"> 10.0 lit. low level PVC cistern complete set</t>
  </si>
  <si>
    <t>10.0 lit. low level PVC cistern</t>
  </si>
  <si>
    <t>Porcelain clay white glazed indian pattern Comode(Hindustan, Parryware, Classica or eq.) with 10 lts. low level cistern and seat cover</t>
  </si>
  <si>
    <t>Porcelain clay white glazed indian pattern Comode with 10 lts. low level cistern</t>
  </si>
  <si>
    <t>Porcelain clay first color indian pattern Comode(Hindustan, Parryware, Classica or eq.) with 10 lts. low level cistern and seat cover constallation type</t>
  </si>
  <si>
    <r>
      <t>xii)</t>
    </r>
    <r>
      <rPr>
        <sz val="14"/>
        <rFont val="Preeti"/>
      </rPr>
      <t xml:space="preserve"> </t>
    </r>
    <r>
      <rPr>
        <sz val="12"/>
        <rFont val="Preeti"/>
      </rPr>
      <t>#Æ</t>
    </r>
    <r>
      <rPr>
        <sz val="12"/>
        <rFont val="Times New Roman"/>
        <family val="1"/>
      </rPr>
      <t>x</t>
    </r>
    <r>
      <rPr>
        <sz val="12"/>
        <rFont val="Preeti"/>
      </rPr>
      <t xml:space="preserve"> !=%Æ ;fOhsf] ;fnsf] sf7sf] s'FlbPsf] knL tof/L ug]{ sfd</t>
    </r>
  </si>
  <si>
    <r>
      <t>xiii)</t>
    </r>
    <r>
      <rPr>
        <sz val="14"/>
        <rFont val="Times New Roman"/>
        <family val="1"/>
      </rPr>
      <t xml:space="preserve"> </t>
    </r>
    <r>
      <rPr>
        <sz val="12"/>
        <rFont val="Preeti"/>
      </rPr>
      <t>sF'lbPsf] ljleGg a'§f /fvL agfPsf] ;fn sf7sf] $Æ</t>
    </r>
    <r>
      <rPr>
        <sz val="12"/>
        <rFont val="Times New Roman"/>
        <family val="1"/>
      </rPr>
      <t>x</t>
    </r>
    <r>
      <rPr>
        <sz val="12"/>
        <rFont val="Preeti"/>
      </rPr>
      <t xml:space="preserve"> %Æsf] sfg]{; lad cflb tof/L ug]{ sfo{</t>
    </r>
  </si>
  <si>
    <r>
      <t>75 mm th. , (600×2100)mm</t>
    </r>
    <r>
      <rPr>
        <vertAlign val="superscript"/>
        <sz val="12"/>
        <rFont val="Times New Roman"/>
        <family val="1"/>
      </rPr>
      <t>2</t>
    </r>
    <r>
      <rPr>
        <sz val="12"/>
        <rFont val="Times New Roman"/>
        <family val="1"/>
      </rPr>
      <t>(12×7 ft)</t>
    </r>
  </si>
  <si>
    <r>
      <t>75 mm th. , (600×1800)mm</t>
    </r>
    <r>
      <rPr>
        <vertAlign val="superscript"/>
        <sz val="12"/>
        <rFont val="Times New Roman"/>
        <family val="1"/>
      </rPr>
      <t>2</t>
    </r>
    <r>
      <rPr>
        <sz val="12"/>
        <rFont val="Times New Roman"/>
        <family val="1"/>
      </rPr>
      <t>(12×6) ft</t>
    </r>
  </si>
  <si>
    <r>
      <t>75 mm th. , (600×1500)mm</t>
    </r>
    <r>
      <rPr>
        <vertAlign val="superscript"/>
        <sz val="12"/>
        <rFont val="Times New Roman"/>
        <family val="1"/>
      </rPr>
      <t>2</t>
    </r>
    <r>
      <rPr>
        <sz val="12"/>
        <rFont val="Times New Roman"/>
        <family val="1"/>
      </rPr>
      <t>(12×5) ft</t>
    </r>
  </si>
  <si>
    <r>
      <t>40mm th. , (600×3000)mm</t>
    </r>
    <r>
      <rPr>
        <vertAlign val="superscript"/>
        <sz val="12"/>
        <rFont val="Times New Roman"/>
        <family val="1"/>
      </rPr>
      <t>2</t>
    </r>
    <r>
      <rPr>
        <sz val="12"/>
        <rFont val="Times New Roman"/>
        <family val="1"/>
      </rPr>
      <t>(12×10 ft 9, 8 fit size )</t>
    </r>
  </si>
  <si>
    <r>
      <t>40mm th. , (600×1500)mm</t>
    </r>
    <r>
      <rPr>
        <vertAlign val="superscript"/>
        <sz val="12"/>
        <rFont val="Times New Roman"/>
        <family val="1"/>
      </rPr>
      <t>2</t>
    </r>
    <r>
      <rPr>
        <sz val="12"/>
        <rFont val="Times New Roman"/>
        <family val="1"/>
      </rPr>
      <t>(12×5) fit</t>
    </r>
  </si>
  <si>
    <t xml:space="preserve">e'O{+tNnfdf lrDgL e§fsf] O{+6fsf] uf/f] df6f]df nufpg] sfd  =============================================================================================   </t>
  </si>
  <si>
    <t>!) dL= k/ x6fpg] sfd .</t>
  </si>
  <si>
    <t>hf]8\g]</t>
  </si>
  <si>
    <t>Porcelain clay first color indian pattern Comode with 10 lts. low level cistern constallation type.</t>
  </si>
  <si>
    <t>Porcelain clay white glazed indian pattern Comode(Hindustan, Parryware, Classica or eq.) with 10 lts. low level cistern and seat cover constallation type.</t>
  </si>
  <si>
    <t>Porcelain clay white glazed indian pattern Comode with 10 lts. low level cistern constallation type.</t>
  </si>
  <si>
    <t>1.2 mm fiber glass sheet for ridge including fixing in proper shape &amp; size with all necessary nails, screws, bolts &amp; nuts washers, J &amp; L hocks etc as per drawing &amp; instruction all complete.</t>
  </si>
  <si>
    <t>1.2 mm fiber glass sheet for ridge.</t>
  </si>
  <si>
    <t>R.m.</t>
  </si>
  <si>
    <t>Cleaning and rubbing old marble floor and wall with oxalic acid</t>
  </si>
  <si>
    <t xml:space="preserve">Cleaning and Polishing old Parket floor </t>
  </si>
  <si>
    <t>Cleaning, rubbing and Polishing of Old mossaic floor</t>
  </si>
  <si>
    <t>12.5mm thick cement sand rainwater protection plaster line in (1:4) ratio including wetting of surfaces &amp; curing the work all complete.</t>
  </si>
  <si>
    <t>12.5mm thick cement sand rainwater protection plaster line in (1:4) ratio</t>
  </si>
  <si>
    <t>Dismanlting of old CGI sheet roofing work including stagging in proper place .</t>
  </si>
  <si>
    <t>Dismanlting of old CGI sheet roofing work including stagging in proper place.</t>
  </si>
  <si>
    <t>1" thick Roofing Tile Shape cutting work in 1:4 CM</t>
  </si>
  <si>
    <t>Fitting &amp; fixing suspended Plain ceiling of water resistance gypsum board with all necessary hanger, angles, hooks nut bolt all complete.</t>
  </si>
  <si>
    <t>Fitting &amp; fixing suspended Plain ceiling of water resistance gypsum board.</t>
  </si>
  <si>
    <t>Fitting &amp; fixing suspended design ceiling of water resistance gypsum board with all necessary hanger, angles, hooks nut bolt all complete.</t>
  </si>
  <si>
    <t>Fitting &amp; fixing suspended design ceiling of water resistance gypsum board.</t>
  </si>
  <si>
    <t>$ dL=dL= 6Ls KnfO{p8 b'j} tkm{ 7f]sL ˆnz vfkf agfO{ hf]8\g] .</t>
  </si>
  <si>
    <t>$ dL=dL=l6s Knfp8</t>
  </si>
  <si>
    <t>rf}sf];df $ dL=dL= sdl;{on KnfO{p8 sf7sf] lni6L nufO{ hf]8\g] .</t>
  </si>
  <si>
    <t>$ dL=dL= KnfOp8</t>
  </si>
  <si>
    <t>Providing and applying Dustban/Permise chemicals for Anti Termite Treatment all complete.</t>
  </si>
  <si>
    <t>3x36 CFL concil/surface.Orant Light</t>
  </si>
  <si>
    <t>250 Watt MHL set.Orant Light</t>
  </si>
  <si>
    <t>3 Watt to 13 Watt PL Orant Tube</t>
  </si>
  <si>
    <t xml:space="preserve">60 Amp MCCB Tengen </t>
  </si>
  <si>
    <t xml:space="preserve">100 Amp MCCB Tengen </t>
  </si>
  <si>
    <t xml:space="preserve">200 Amp MCCB Tengen </t>
  </si>
  <si>
    <t xml:space="preserve">300 Amp MCCB Tengen </t>
  </si>
  <si>
    <t>1x/40 Watt F.T.L Box fitting Crompton,Anchor,Bajaj  or equivalent</t>
  </si>
  <si>
    <t xml:space="preserve">e'O{+tNnfdf lrDgL e§fsf] O{+6fsf] uf/f] l;d]G6 d;nf -!M^_ df  =============================================================================================   </t>
  </si>
  <si>
    <t>kmnfd] /f]lnË ;6/ agfO{ h8fg ug]{ , k]G6LË / Hofnf ;d]t .</t>
  </si>
  <si>
    <t xml:space="preserve">9'Ëfsf] uf/f] l;d]G6 d;nf -!M#_ df  =============================================================================================   </t>
  </si>
  <si>
    <r>
      <t>#</t>
    </r>
    <r>
      <rPr>
        <sz val="16"/>
        <rFont val="Preeti"/>
      </rPr>
      <t>÷</t>
    </r>
    <r>
      <rPr>
        <vertAlign val="subscript"/>
        <sz val="16"/>
        <rFont val="Preeti"/>
      </rPr>
      <t>$</t>
    </r>
    <r>
      <rPr>
        <sz val="16"/>
        <rFont val="Preeti"/>
      </rPr>
      <t>Æ</t>
    </r>
    <r>
      <rPr>
        <sz val="11"/>
        <rFont val="Arial"/>
        <family val="2"/>
      </rPr>
      <t>x</t>
    </r>
    <r>
      <rPr>
        <vertAlign val="superscript"/>
        <sz val="16"/>
        <rFont val="Preeti"/>
      </rPr>
      <t>#</t>
    </r>
    <r>
      <rPr>
        <sz val="16"/>
        <rFont val="Preeti"/>
      </rPr>
      <t>÷</t>
    </r>
    <r>
      <rPr>
        <vertAlign val="subscript"/>
        <sz val="16"/>
        <rFont val="Preeti"/>
      </rPr>
      <t>$</t>
    </r>
    <r>
      <rPr>
        <sz val="16"/>
        <rFont val="Preeti"/>
      </rPr>
      <t>Æ sf] :Sjfo/ kfO{k df !</t>
    </r>
    <r>
      <rPr>
        <vertAlign val="superscript"/>
        <sz val="16"/>
        <rFont val="Preeti"/>
      </rPr>
      <t>!</t>
    </r>
    <r>
      <rPr>
        <sz val="16"/>
        <rFont val="Preeti"/>
      </rPr>
      <t>÷</t>
    </r>
    <r>
      <rPr>
        <vertAlign val="subscript"/>
        <sz val="16"/>
        <rFont val="Preeti"/>
      </rPr>
      <t>$</t>
    </r>
    <r>
      <rPr>
        <sz val="16"/>
        <rFont val="Preeti"/>
      </rPr>
      <t>Æ</t>
    </r>
    <r>
      <rPr>
        <sz val="11"/>
        <rFont val="Arial"/>
        <family val="2"/>
      </rPr>
      <t>Ø</t>
    </r>
    <r>
      <rPr>
        <sz val="16"/>
        <rFont val="Preeti"/>
      </rPr>
      <t xml:space="preserve"> sf] dWod &gt;]0fLsf] sfnf] kfO{ksf] x\of08/]n</t>
    </r>
  </si>
  <si>
    <r>
      <t xml:space="preserve">kmnfd] 3'Dg] e¥ofË M $Æ–^Æ </t>
    </r>
    <r>
      <rPr>
        <sz val="10"/>
        <rFont val="Arial"/>
        <family val="2"/>
      </rPr>
      <t>Ø</t>
    </r>
    <r>
      <rPr>
        <sz val="16"/>
        <rFont val="Preeti"/>
      </rPr>
      <t xml:space="preserve"> ;Ddsf] dWod &gt;]0fLsf] sfnf] kfO{k kf]i6 k|of]u u/L </t>
    </r>
  </si>
  <si>
    <t xml:space="preserve">M.S. blackpipe purlin with I.S. or B.S. section including jointting , fixing, erection and primer painting with all necessary M.S. bed plates, shoe angles, anchor bolts leas sheeting or cement grouting as per drawing and instructions all complete . </t>
  </si>
  <si>
    <t>M.S. blackpipe purlin with primer painting with all necessary M.S. bed plates, shoe angles, anchor bolts leas sheeting .</t>
  </si>
  <si>
    <t>Flush pointing work in  (1:3) cement sand mortar on 45 x 45 cm flag stone paving works with good finish including curing as per instruciton all complete.</t>
  </si>
  <si>
    <t>Flush pointing work in  (1:3) cement sand mortar on 45 x 45 cm flag stone paving works.</t>
  </si>
  <si>
    <t>1:1 cement sand pointing work in Telia floor tile with good finishing including curing  all complete</t>
  </si>
  <si>
    <t>Pointing work in  (1:1) cement sand mortar for Telia flooring.</t>
  </si>
  <si>
    <t>3 mm thick cement sand punning (1:1) on floor, skriting, dado etc, including mixing laying and rubbing with steel trowel to a hard, smooth and shining surface and curing all complete.</t>
  </si>
  <si>
    <t>3 mm thick cement sand punning (1:1) on floor, skriting, dado etc.</t>
  </si>
  <si>
    <t>3 mm thick lime plastering work including mixing laying and rubbing with steel trowel to a hard, smooth and shining surface and curing all complete.</t>
  </si>
  <si>
    <t>3 mm thick lime plastering work.</t>
  </si>
  <si>
    <t>3 mm thick cement plastering work including mixing laying and rubbing with steel trowel to a hard, smooth and shining surface and curing all complete.</t>
  </si>
  <si>
    <t>3mm thick cement plastering work.</t>
  </si>
  <si>
    <t>2 cm thick (1:2) cement sand mortar DPC work with water proof compound including mixing laying and rubbing with steel trowel to a hard, smooth and shining surface and curing all complete.</t>
  </si>
  <si>
    <t>2 cm thick (1:2) cement sand mortar DPC work with water proof compound.</t>
  </si>
  <si>
    <t>2.5 cm thick (1:1.5:3) concrete DPC work with water proof compound including mixing laying and rubbing with steel trowel to a hard, smooth and shining surface and curing all complete.</t>
  </si>
  <si>
    <t>2.5 cm thick (1:1.5:3) concrete DPC work with water proof compound.</t>
  </si>
  <si>
    <t>3.8 cm thick (1:2:4) concrete DPC work with water proof compound including mixing laying and rubbing with steel trowel to a hard, smooth and shining surface and curing all complete.</t>
  </si>
  <si>
    <t>3.8 cm thick (1:2:4) concrete DPC work with water proof compound.</t>
  </si>
  <si>
    <t>1 coats of bitumen (Alkatra) painting over DPC course and covering porperly with river sand .</t>
  </si>
  <si>
    <t xml:space="preserve">Supplying and laying of one layer of 500 gauge Polythene sheet on prepared surface </t>
  </si>
  <si>
    <t>3/20 PVC Coper Wire Nepal, Prakash etc.</t>
  </si>
  <si>
    <t>7/22 PVC Coper Wire Nepal, Prakash etc.</t>
  </si>
  <si>
    <t>7/20 PVC Coper Wire Nepal, Prakash etc.</t>
  </si>
  <si>
    <t>7/18 PVC Coper Wire Nepal, Prakash etc.</t>
  </si>
  <si>
    <t>7/16 PVC Coper Wire Nepal, Prakash etc.</t>
  </si>
  <si>
    <t>1/18 PVC Coper Wire Nepal, Prakash etc.</t>
  </si>
  <si>
    <t>1 Pole MCB Box</t>
  </si>
  <si>
    <t>35 mm2 4 core Nepal, Prakash Or NS</t>
  </si>
  <si>
    <t>Providing and applying Dustban/Permise chemicals for Anti Termite Treatment all complete. ………………………………………………..</t>
  </si>
  <si>
    <t>d]l;gd]8 Sn] 6fon !M$ l;d]G6 afn'jfdf :nf]k ?km ;km]{;df 6f+:g] sfo{ ===</t>
  </si>
  <si>
    <t>Supplying and fitting Ready made Teak wood Doors,ordinary (Seasoned and Poisoned treated ,one side teak)  with all neccessary hardware all complete.</t>
  </si>
  <si>
    <t>Fitting &amp; fixing of water resistance gypsum board design false ceiling.</t>
  </si>
  <si>
    <t>Dry wall partition work with metal stud: Providing and fixing Gypboard on both side thickness of 75mm all complete work</t>
  </si>
  <si>
    <t>Gypsum or Boral plaster board wall panelling : Providing and fixing Gypboard or boral plaster board finishing all complete work</t>
  </si>
  <si>
    <t>One layer Plastic felt laying over evenly spread roofing grade bitumen with river sand on cleaned surface.</t>
  </si>
  <si>
    <t>Two layer Plastic felt laying over evenly spread roofing grade bitumen with river sand on cleaned surface.</t>
  </si>
  <si>
    <r>
      <t>600 mm dia NP</t>
    </r>
    <r>
      <rPr>
        <vertAlign val="superscript"/>
        <sz val="10"/>
        <rFont val="Arial"/>
        <family val="2"/>
      </rPr>
      <t xml:space="preserve">2 </t>
    </r>
    <r>
      <rPr>
        <sz val="10"/>
        <rFont val="Arial"/>
        <family val="2"/>
      </rPr>
      <t>RCC Hume pipe including collar with all complete.</t>
    </r>
  </si>
  <si>
    <r>
      <t>150 mm dia NP</t>
    </r>
    <r>
      <rPr>
        <vertAlign val="superscript"/>
        <sz val="10"/>
        <rFont val="Arial"/>
        <family val="2"/>
      </rPr>
      <t xml:space="preserve">3 </t>
    </r>
    <r>
      <rPr>
        <sz val="10"/>
        <rFont val="Arial"/>
        <family val="2"/>
      </rPr>
      <t>RCC Hume pipe including collar with all complete.</t>
    </r>
  </si>
  <si>
    <r>
      <t>Fixing /laying 200 mm dia NP</t>
    </r>
    <r>
      <rPr>
        <vertAlign val="superscript"/>
        <sz val="10"/>
        <rFont val="Arial"/>
        <family val="2"/>
      </rPr>
      <t xml:space="preserve">3 </t>
    </r>
    <r>
      <rPr>
        <sz val="10"/>
        <rFont val="Arial"/>
        <family val="2"/>
      </rPr>
      <t>RCC Hume pipe with collar including 1:4 cement sand mortar all complete.</t>
    </r>
  </si>
  <si>
    <r>
      <t>200 mm dia NP</t>
    </r>
    <r>
      <rPr>
        <vertAlign val="superscript"/>
        <sz val="10"/>
        <rFont val="Arial"/>
        <family val="2"/>
      </rPr>
      <t xml:space="preserve">3 </t>
    </r>
    <r>
      <rPr>
        <sz val="10"/>
        <rFont val="Arial"/>
        <family val="2"/>
      </rPr>
      <t>RCC Hume pipe including collar with all complete.</t>
    </r>
  </si>
  <si>
    <r>
      <t>Fixing /laying 300 mm dia NP</t>
    </r>
    <r>
      <rPr>
        <vertAlign val="superscript"/>
        <sz val="10"/>
        <rFont val="Arial"/>
        <family val="2"/>
      </rPr>
      <t xml:space="preserve">3 </t>
    </r>
    <r>
      <rPr>
        <sz val="10"/>
        <rFont val="Arial"/>
        <family val="2"/>
      </rPr>
      <t>RCC Hume pipe with collar including 1:4 cement sand mortar all complete.</t>
    </r>
  </si>
  <si>
    <r>
      <t>300 mm dia NP</t>
    </r>
    <r>
      <rPr>
        <vertAlign val="superscript"/>
        <sz val="10"/>
        <rFont val="Arial"/>
        <family val="2"/>
      </rPr>
      <t xml:space="preserve">3 </t>
    </r>
    <r>
      <rPr>
        <sz val="10"/>
        <rFont val="Arial"/>
        <family val="2"/>
      </rPr>
      <t>RCC Hume pipe including collar with all complete.</t>
    </r>
  </si>
  <si>
    <r>
      <t>Fixing /laying 400 mm dia NP</t>
    </r>
    <r>
      <rPr>
        <vertAlign val="superscript"/>
        <sz val="10"/>
        <rFont val="Arial"/>
        <family val="2"/>
      </rPr>
      <t xml:space="preserve">3 </t>
    </r>
    <r>
      <rPr>
        <sz val="10"/>
        <rFont val="Arial"/>
        <family val="2"/>
      </rPr>
      <t>RCC Hume pipe with collar including 1:4 cement sand mortar all complete.</t>
    </r>
  </si>
  <si>
    <r>
      <t>400mm dia NP</t>
    </r>
    <r>
      <rPr>
        <vertAlign val="superscript"/>
        <sz val="10"/>
        <rFont val="Arial"/>
        <family val="2"/>
      </rPr>
      <t xml:space="preserve">3 </t>
    </r>
    <r>
      <rPr>
        <sz val="10"/>
        <rFont val="Arial"/>
        <family val="2"/>
      </rPr>
      <t>RCC Hume pipe including collar with all complete.</t>
    </r>
  </si>
  <si>
    <r>
      <t>Fixing /laying 600 mm dia NP</t>
    </r>
    <r>
      <rPr>
        <vertAlign val="superscript"/>
        <sz val="10"/>
        <rFont val="Arial"/>
        <family val="2"/>
      </rPr>
      <t xml:space="preserve">3 </t>
    </r>
    <r>
      <rPr>
        <sz val="10"/>
        <rFont val="Arial"/>
        <family val="2"/>
      </rPr>
      <t>RCC Hume pipe with collar including 1:4 cement sand mortar all complete.</t>
    </r>
  </si>
  <si>
    <r>
      <t>600 mm dia NP</t>
    </r>
    <r>
      <rPr>
        <vertAlign val="superscript"/>
        <sz val="10"/>
        <rFont val="Arial"/>
        <family val="2"/>
      </rPr>
      <t xml:space="preserve">3 </t>
    </r>
    <r>
      <rPr>
        <sz val="10"/>
        <rFont val="Arial"/>
        <family val="2"/>
      </rPr>
      <t>RCC Hume pipe including collar with all complete.</t>
    </r>
  </si>
  <si>
    <r>
      <t>NP</t>
    </r>
    <r>
      <rPr>
        <vertAlign val="superscript"/>
        <sz val="10"/>
        <rFont val="Arial"/>
        <family val="2"/>
      </rPr>
      <t xml:space="preserve">2 </t>
    </r>
    <r>
      <rPr>
        <sz val="10"/>
        <rFont val="Arial"/>
        <family val="2"/>
      </rPr>
      <t>RCC Hume pie with collar including 1:4 cement sand mortar 150 mm dia</t>
    </r>
  </si>
  <si>
    <r>
      <t>NP</t>
    </r>
    <r>
      <rPr>
        <vertAlign val="superscript"/>
        <sz val="10"/>
        <rFont val="Arial"/>
        <family val="2"/>
      </rPr>
      <t xml:space="preserve">3 </t>
    </r>
    <r>
      <rPr>
        <sz val="10"/>
        <rFont val="Arial"/>
        <family val="2"/>
      </rPr>
      <t>RCC Hume pie with collar including 1:4 cement sand mortar 150 mm dia</t>
    </r>
  </si>
  <si>
    <r>
      <t xml:space="preserve"> 110 PVC pipe of 6 kg/cm</t>
    </r>
    <r>
      <rPr>
        <vertAlign val="superscript"/>
        <sz val="10"/>
        <rFont val="Arial"/>
        <family val="2"/>
      </rPr>
      <t>2</t>
    </r>
    <r>
      <rPr>
        <sz val="10"/>
        <rFont val="Arial"/>
        <family val="2"/>
      </rPr>
      <t xml:space="preserve"> </t>
    </r>
  </si>
  <si>
    <t>b/ k|lt d]=6=sf]</t>
  </si>
  <si>
    <r>
      <t xml:space="preserve">kmnfdsf] kfOk </t>
    </r>
    <r>
      <rPr>
        <sz val="9"/>
        <rFont val="Arial"/>
        <family val="2"/>
      </rPr>
      <t>(Prop),</t>
    </r>
    <r>
      <rPr>
        <sz val="16"/>
        <rFont val="Preeti"/>
      </rPr>
      <t xml:space="preserve"> KnfOjf]8{ k|of]u u/L km;{ / :nfjsf] nflu kmdf{ agfpg] sfd . </t>
    </r>
  </si>
  <si>
    <t>:k|LË</t>
  </si>
  <si>
    <t>Supplying and laying Teak wood Parqueting on floor polishing all complete(150mm*30mm*8mm) …………………………………………..</t>
  </si>
  <si>
    <t>s) Mini Dumper    (1 CUM+)</t>
  </si>
  <si>
    <t>t) Excavator, Wheel    (Upto 110 HP)</t>
  </si>
  <si>
    <t>u) Excavator, Track    (Upto 110 HP)</t>
  </si>
  <si>
    <t>v) Fork Lift Truck    (Upto 2.5 ton)</t>
  </si>
  <si>
    <t>x) Generator*   (10+ to 30 KVA)</t>
  </si>
  <si>
    <t>y) Generator*   (250 KVA)</t>
  </si>
  <si>
    <t>z) Generator*   (420 KVA)</t>
  </si>
  <si>
    <t>aa) Grador motor   (80 to 145 HP)</t>
  </si>
  <si>
    <t>bb) Hopper Gritter</t>
  </si>
  <si>
    <t>cc) Chips spreader tail gate mounted</t>
  </si>
  <si>
    <t>dd) Bitumin heater   (Upto 2 KL)</t>
  </si>
  <si>
    <r>
      <t>75 mm th. , (600×3000)mm</t>
    </r>
    <r>
      <rPr>
        <vertAlign val="superscript"/>
        <sz val="12"/>
        <rFont val="Times New Roman"/>
        <family val="1"/>
      </rPr>
      <t>2</t>
    </r>
    <r>
      <rPr>
        <sz val="12"/>
        <rFont val="Times New Roman"/>
        <family val="1"/>
      </rPr>
      <t>(12×10 ft)</t>
    </r>
  </si>
  <si>
    <t xml:space="preserve">a) Providing, fitting &amp; fixing in position G.I. under frame using GYP  steel-branded channel and fixing 9-12 mm th. GYP. board ( Or Boral Plaster Board) finishing of joints with compound tape all complete work </t>
  </si>
  <si>
    <t>b) Do but for design ceiling</t>
  </si>
  <si>
    <t>O{6fsf] uf/f]df l;d]G6 afn'jf -!M!_ ˆn; l6Ksf/ ug]{ sfd =======================================================================</t>
  </si>
  <si>
    <t>s'FlbPsf] ;fn sf7sf] em\ofn 9f]sf h8fg ;d]t k'/f</t>
  </si>
  <si>
    <t xml:space="preserve">s'FlbPsf] ;fn sf7 </t>
  </si>
  <si>
    <t xml:space="preserve">s'+lbPsf] ;fn sf7 </t>
  </si>
  <si>
    <t>;'Vvf 9+'uf 5fKg] sfd .</t>
  </si>
  <si>
    <t>9'+uf -kmf]?jf_</t>
  </si>
  <si>
    <t xml:space="preserve">;'Vvf 9'Ëfsf] uf/f] nufpg] sfd  =============================================================================================    </t>
  </si>
  <si>
    <t>vfkf c*\ofpg] x's</t>
  </si>
  <si>
    <t>sf]?u]^]* /+lug ss{t kftf 0=5 ld=ld</t>
  </si>
  <si>
    <t>af; 18 b]lv 20 lkm^ nfdf]</t>
  </si>
  <si>
    <t>/=ld</t>
  </si>
  <si>
    <r>
      <t xml:space="preserve">#Æ </t>
    </r>
    <r>
      <rPr>
        <sz val="10"/>
        <rFont val="Arial"/>
        <family val="2"/>
      </rPr>
      <t>x</t>
    </r>
    <r>
      <rPr>
        <sz val="14"/>
        <rFont val="Preeti"/>
      </rPr>
      <t xml:space="preserve"> $Æ sf] lzzf} sf7sf] x\of08/]n</t>
    </r>
  </si>
  <si>
    <t>sfo{ ;d"x …hÚ M– sf7sf] sfd</t>
  </si>
  <si>
    <t>kmnfd] sf]nfK;Lan u]6 k]lG6Ë / h8fg ;d]t ug]{ .</t>
  </si>
  <si>
    <t>iii)Wall partation</t>
  </si>
  <si>
    <t>iv)Wall paneling</t>
  </si>
  <si>
    <t>b/ ljZn]if0fsf] nflu !) Jf=ld= lnOPsf]</t>
  </si>
  <si>
    <t>b/ k|lt ! ?vsf]</t>
  </si>
  <si>
    <t>PdlkPn lhk jf]8{ l8hfOg km\n;\ l;lnË =======================================================================</t>
  </si>
  <si>
    <t>cfd{:6«fË jf]8{sf] km\n;\ l;lnË agfpg] sfd =======================================================================</t>
  </si>
  <si>
    <t>O{nf:6«f]d]l/s jf6/k|'lkmË sf]l6Ë ug]{ sfd =======================================================================</t>
  </si>
  <si>
    <t>kmnfd] u]6</t>
  </si>
  <si>
    <t>;6/</t>
  </si>
  <si>
    <t>%)) u]hsf] kf]lnlyg zL6 Ps tx lj5\ofpg] .</t>
  </si>
  <si>
    <t xml:space="preserve">12.5mm thick Gypsum Board False ceiling including all necessary material </t>
  </si>
  <si>
    <t xml:space="preserve">:6]gn]; :6Ln kfOk </t>
  </si>
  <si>
    <t>!Æ×#Æ ;fOhsf] -!=$_ efusf] ld&gt;0fsf] d;nf tof/ ul/ v6 /flv jiff{bsf] kfgL k§L agfpg] sfd -tof/L_</t>
  </si>
  <si>
    <t>/=dL</t>
  </si>
  <si>
    <t xml:space="preserve">j=lkm </t>
  </si>
  <si>
    <t>e) Curb stone M-30 grade.</t>
  </si>
  <si>
    <t>/=ld=</t>
  </si>
  <si>
    <t>25 mm thick C.C. Tile (Grey color)</t>
  </si>
  <si>
    <t xml:space="preserve">Burfi Checker </t>
  </si>
  <si>
    <t>e'O{tNnfeGbf dfly d]lzgåf/f agfOPsf] O{6fsf] uf/f]sf] l;d]G6 d;nf -!M#_ df</t>
  </si>
  <si>
    <t>tf/ lsnf</t>
  </si>
  <si>
    <t>!@% dL=dL= afSnf] 7f8f] O{6f ;f]lnË u/L hf]gL{df afn'jfn] eg]{ tyf</t>
  </si>
  <si>
    <t>!( dL=dL= KnfO{sf] sf]nddf kmdf{ nufpg] sfd =================================================================</t>
  </si>
  <si>
    <t xml:space="preserve">)=%) dL=dL= afSnf] ;L=hL=cfO{= 5fgf 5fpg] sfd  ===============================================  </t>
  </si>
  <si>
    <t>@) dL=dL= afSnf] l;d]G6 afn'jf Knfi6/ -!M#_ efudf sfd ug]{ .</t>
  </si>
  <si>
    <t>XoflG8n</t>
  </si>
  <si>
    <t>!!–#</t>
  </si>
  <si>
    <t>!M! l;d]G6 afn'jfdf l6Ksf/ ug]{ sfd .</t>
  </si>
  <si>
    <t>t]lnof O{6f</t>
  </si>
  <si>
    <t>;'sL{</t>
  </si>
  <si>
    <t>!!–!@</t>
  </si>
  <si>
    <r>
      <t xml:space="preserve">-!)=)) /=dL= Ö !)=)) </t>
    </r>
    <r>
      <rPr>
        <u/>
        <sz val="10"/>
        <rFont val="Arial"/>
        <family val="2"/>
      </rPr>
      <t>x</t>
    </r>
    <r>
      <rPr>
        <u/>
        <sz val="10"/>
        <rFont val="Preeti"/>
      </rPr>
      <t xml:space="preserve"> )=^) Ö ^=)) j=dL=_</t>
    </r>
  </si>
  <si>
    <t xml:space="preserve">808L </t>
  </si>
  <si>
    <t xml:space="preserve">!%_ sf]]k" ;fgf] </t>
  </si>
  <si>
    <t xml:space="preserve">!^_ uf]+urf </t>
  </si>
  <si>
    <t>s_;fgf</t>
  </si>
  <si>
    <t>v_7'nf]</t>
  </si>
  <si>
    <t xml:space="preserve">!&amp;_ k]6Lsf]nflu 9'Ëf </t>
  </si>
  <si>
    <t xml:space="preserve"> !*_ gfuf]n O{6f </t>
  </si>
  <si>
    <t xml:space="preserve"> @^_ a'§]bf/L slg{z O6f -sfzLdf]x?_</t>
  </si>
  <si>
    <t>r]K6f] O{+6f -!M^_ l;=af=df 5fKg] sfd =======================================================================</t>
  </si>
  <si>
    <t xml:space="preserve">ljleGg lsl;dsf] O{+6f </t>
  </si>
  <si>
    <t>s_ d]lzgaf6 pTkflbt O+{6f -5fg]sf]_</t>
  </si>
  <si>
    <t xml:space="preserve">xhf/ </t>
  </si>
  <si>
    <t>v_ d]lzgaf6 pTkflbt O+{6f -!–g+=_</t>
  </si>
  <si>
    <t>,,</t>
  </si>
  <si>
    <t xml:space="preserve">u_ lrDgL e§fsf] O{+6f </t>
  </si>
  <si>
    <t xml:space="preserve">5fgf 5fpg] 6fonx? </t>
  </si>
  <si>
    <t xml:space="preserve">s_ d]lzgaf6 pTkflbt 6fon </t>
  </si>
  <si>
    <t xml:space="preserve">uf]6f </t>
  </si>
  <si>
    <t xml:space="preserve">v_ lrDgL e§fsf] 6fon </t>
  </si>
  <si>
    <t xml:space="preserve">,, </t>
  </si>
  <si>
    <t xml:space="preserve">u_ d]lzgaf6 pTkflbt w'/L </t>
  </si>
  <si>
    <t xml:space="preserve">3_ lrDgL e§fsf] w'/L </t>
  </si>
  <si>
    <t>e'O{df÷ sf};Ldf 5fKg] 6fonM</t>
  </si>
  <si>
    <t>$ dL=dL= P]gf vfkf agfO{ h8fg ug]{ .</t>
  </si>
  <si>
    <t>$ dL=dL=P]gf</t>
  </si>
  <si>
    <t>km\n]u:^f]g (+'uf25dL=dL=-1 O_;km]{; *|];</t>
  </si>
  <si>
    <t>km\n]u:^f]g (+'uf25dL=dL=-1 O_d]l;g s^L*0</t>
  </si>
  <si>
    <t>kf]/l;lng Un]h ^Fon</t>
  </si>
  <si>
    <t>km\n]u:^f]g (+'uf 50 dL=dL=</t>
  </si>
  <si>
    <t>km\n]u:^f]g (+'uf 37=5 dL=dL=</t>
  </si>
  <si>
    <t>t]lnof O{^F</t>
  </si>
  <si>
    <t>@) dL=dL= l;d]G6 afn'jf -!M$_ Knfi6/ =======================================================================</t>
  </si>
  <si>
    <t>lgb]{zfg';f/ h8fg ug]{ sfd .</t>
  </si>
  <si>
    <t>sfnf] kfO{k</t>
  </si>
  <si>
    <r>
      <t xml:space="preserve">Providing and applying Perma treat or Perma clear seal (colorless solvent silicon based liquid) for </t>
    </r>
    <r>
      <rPr>
        <b/>
        <sz val="12"/>
        <rFont val="Times New Roman"/>
        <family val="1"/>
      </rPr>
      <t>water repellant</t>
    </r>
    <r>
      <rPr>
        <sz val="12"/>
        <rFont val="Times New Roman"/>
        <family val="1"/>
      </rPr>
      <t xml:space="preserve"> on bricks, tiles from fungus and algae growth (exposed surface).</t>
    </r>
  </si>
  <si>
    <r>
      <t xml:space="preserve">d]lzgaf6 a'lgPsf, </t>
    </r>
    <r>
      <rPr>
        <b/>
        <sz val="12"/>
        <rFont val="Arial"/>
        <family val="2"/>
      </rPr>
      <t xml:space="preserve">mechanically selvedged double Twist wire mesh </t>
    </r>
    <r>
      <rPr>
        <b/>
        <sz val="14"/>
        <rFont val="Preeti"/>
      </rPr>
      <t>sf] u]ljog jfs;</t>
    </r>
  </si>
  <si>
    <r>
      <t xml:space="preserve">s_ </t>
    </r>
    <r>
      <rPr>
        <b/>
        <sz val="12"/>
        <rFont val="Times New Roman"/>
        <family val="1"/>
      </rPr>
      <t>MBG/10x12/3.0/3.9/2.4/ZN</t>
    </r>
  </si>
  <si>
    <r>
      <t>!=%</t>
    </r>
    <r>
      <rPr>
        <sz val="14"/>
        <rFont val="Times New Roman"/>
        <family val="1"/>
      </rPr>
      <t>×</t>
    </r>
    <r>
      <rPr>
        <sz val="14"/>
        <rFont val="Preeti"/>
      </rPr>
      <t>!</t>
    </r>
    <r>
      <rPr>
        <sz val="14"/>
        <rFont val="Times New Roman"/>
        <family val="1"/>
      </rPr>
      <t>×</t>
    </r>
    <r>
      <rPr>
        <sz val="14"/>
        <rFont val="Preeti"/>
      </rPr>
      <t>)=%÷)</t>
    </r>
  </si>
  <si>
    <r>
      <t xml:space="preserve"> @</t>
    </r>
    <r>
      <rPr>
        <sz val="14"/>
        <rFont val="Times New Roman"/>
        <family val="1"/>
      </rPr>
      <t>×</t>
    </r>
    <r>
      <rPr>
        <sz val="14"/>
        <rFont val="Preeti"/>
      </rPr>
      <t>!</t>
    </r>
    <r>
      <rPr>
        <sz val="14"/>
        <rFont val="Times New Roman"/>
        <family val="1"/>
      </rPr>
      <t>×</t>
    </r>
    <r>
      <rPr>
        <sz val="12"/>
        <rFont val="Times New Roman"/>
        <family val="1"/>
      </rPr>
      <t>0.</t>
    </r>
    <r>
      <rPr>
        <sz val="14"/>
        <rFont val="Preeti"/>
      </rPr>
      <t>%÷)</t>
    </r>
    <r>
      <rPr>
        <sz val="11"/>
        <rFont val="Arial"/>
        <family val="2"/>
      </rPr>
      <t xml:space="preserve"> </t>
    </r>
  </si>
  <si>
    <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</si>
  <si>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 xml:space="preserve">=%÷) </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</si>
  <si>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</si>
  <si>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</si>
  <si>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</si>
  <si>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</si>
  <si>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v_ </t>
    </r>
    <r>
      <rPr>
        <b/>
        <sz val="12"/>
        <rFont val="Times New Roman"/>
        <family val="1"/>
      </rPr>
      <t>MBG/10x12/2.7/3.4/2.2/ZN</t>
    </r>
  </si>
  <si>
    <r>
      <t>!=%</t>
    </r>
    <r>
      <rPr>
        <sz val="14"/>
        <rFont val="Times New Roman"/>
        <family val="1"/>
      </rPr>
      <t>×</t>
    </r>
    <r>
      <rPr>
        <sz val="14"/>
        <rFont val="Preeti"/>
      </rPr>
      <t>!</t>
    </r>
    <r>
      <rPr>
        <sz val="14"/>
        <rFont val="Times New Roman"/>
        <family val="1"/>
      </rPr>
      <t>×</t>
    </r>
    <r>
      <rPr>
        <sz val="14"/>
        <rFont val="Preeti"/>
      </rPr>
      <t>)=%)</t>
    </r>
  </si>
  <si>
    <r>
      <t>@</t>
    </r>
    <r>
      <rPr>
        <sz val="14"/>
        <rFont val="Times New Roman"/>
        <family val="1"/>
      </rPr>
      <t>×</t>
    </r>
    <r>
      <rPr>
        <sz val="14"/>
        <rFont val="Preeti"/>
      </rPr>
      <t>!</t>
    </r>
    <r>
      <rPr>
        <sz val="14"/>
        <rFont val="Times New Roman"/>
        <family val="1"/>
      </rPr>
      <t>×</t>
    </r>
    <r>
      <rPr>
        <sz val="14"/>
        <rFont val="Preeti"/>
      </rPr>
      <t>)=%)</t>
    </r>
    <r>
      <rPr>
        <sz val="11"/>
        <rFont val="Arial"/>
        <family val="2"/>
      </rPr>
      <t xml:space="preserve"> </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</si>
  <si>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</si>
  <si>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 xml:space="preserve">=%) </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</si>
  <si>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</si>
  <si>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</si>
  <si>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</si>
  <si>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</si>
  <si>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u_ </t>
    </r>
    <r>
      <rPr>
        <b/>
        <sz val="12"/>
        <rFont val="Times New Roman"/>
        <family val="1"/>
      </rPr>
      <t>MJG/10x12/3.0/3.9/2.4/ZN</t>
    </r>
  </si>
  <si>
    <r>
      <t>#</t>
    </r>
    <r>
      <rPr>
        <sz val="14"/>
        <rFont val="Times New Roman"/>
        <family val="1"/>
      </rPr>
      <t>×</t>
    </r>
    <r>
      <rPr>
        <sz val="14"/>
        <rFont val="Preeti"/>
      </rPr>
      <t>@</t>
    </r>
    <r>
      <rPr>
        <sz val="14"/>
        <rFont val="Times New Roman"/>
        <family val="1"/>
      </rPr>
      <t>×</t>
    </r>
    <r>
      <rPr>
        <sz val="14"/>
        <rFont val="Preeti"/>
      </rPr>
      <t>)=%)</t>
    </r>
  </si>
  <si>
    <t>!=@ dL=dL= kmfO{j/ Unf; zL6sf] w'/L 5fpg] sfd -/=dL=_ ======================================================</t>
  </si>
  <si>
    <t>!=@ dL=dL= kmfO{j/ Unf; zL6sf] w'/L 5fpg] sfd -j=dL=_ =====================================</t>
  </si>
  <si>
    <t xml:space="preserve">e'O{+tNnfeGbf dfly lrDgL e§fsf] O{+6fsf] uf/f] l;d]G6 d;nf -!M^_ df  =============================================================================================   </t>
  </si>
  <si>
    <t>kf]/l;lng Un]H8 6fO{n !M$ l;d]G6 afn'jfdf 5fKg] sfd af]8/ ;lxt .</t>
  </si>
  <si>
    <t>^'qmf O{^f</t>
  </si>
  <si>
    <t>;]tf r'gf</t>
  </si>
  <si>
    <t>l;d]G6df # dL=dL= afSnf] ˆnl;+u Knfi6/ nufpg] sfd .</t>
  </si>
  <si>
    <t>s_ HofdL</t>
  </si>
  <si>
    <t>kf]lnlyg zL6 %)) u]h</t>
  </si>
  <si>
    <t xml:space="preserve">!@=% dL=dL= afSnf] l;d]G6 afn'jf Knfi6/ -!M$_ efudf l;lnËdf ug]{ . </t>
  </si>
  <si>
    <t xml:space="preserve">!@=% dL=dL= afSnf] l;d]G6 afn'jf -!M$_ df </t>
  </si>
  <si>
    <t xml:space="preserve">l;lnË jfx]s cGoq Knfi6/ ug]{ . </t>
  </si>
  <si>
    <t>sd{l;on KnfOp* 8 dL=dL=</t>
  </si>
  <si>
    <t>jf^/ k|'km KnfOp* 8 dL=dL=</t>
  </si>
  <si>
    <t>jf^/ k|'km KnfOp* 12 dL=dL=</t>
  </si>
  <si>
    <t>!@=% dL=dL= l;d]G6 afn'jf -!M#_ Knfi6/ l;ln+udf =======================================================================</t>
  </si>
  <si>
    <r>
      <t>a)</t>
    </r>
    <r>
      <rPr>
        <sz val="7"/>
        <rFont val="Times New Roman"/>
        <family val="1"/>
      </rPr>
      <t xml:space="preserve">       </t>
    </r>
    <r>
      <rPr>
        <sz val="11"/>
        <rFont val="Times New Roman"/>
        <family val="1"/>
      </rPr>
      <t>60 mm  inter locking cement concrete block  M- 30 grade</t>
    </r>
    <r>
      <rPr>
        <sz val="11"/>
        <rFont val="Arial"/>
        <family val="2"/>
      </rPr>
      <t xml:space="preserve"> </t>
    </r>
    <r>
      <rPr>
        <sz val="14"/>
        <rFont val="Preeti"/>
      </rPr>
      <t>3/sf]</t>
    </r>
    <r>
      <rPr>
        <sz val="12"/>
        <rFont val="Preeti"/>
      </rPr>
      <t xml:space="preserve"> </t>
    </r>
    <r>
      <rPr>
        <sz val="12"/>
        <rFont val="Times New Roman"/>
        <family val="1"/>
      </rPr>
      <t>passage</t>
    </r>
    <r>
      <rPr>
        <sz val="12"/>
        <rFont val="Arial"/>
        <family val="2"/>
      </rPr>
      <t xml:space="preserve"> </t>
    </r>
    <r>
      <rPr>
        <sz val="14"/>
        <rFont val="Preeti"/>
      </rPr>
      <t>df 5fgfsf] nflu</t>
    </r>
    <r>
      <rPr>
        <sz val="12"/>
        <rFont val="Preeti"/>
      </rPr>
      <t xml:space="preserve"> </t>
    </r>
  </si>
  <si>
    <r>
      <t>b)</t>
    </r>
    <r>
      <rPr>
        <sz val="7"/>
        <rFont val="Times New Roman"/>
        <family val="1"/>
      </rPr>
      <t xml:space="preserve">       </t>
    </r>
    <r>
      <rPr>
        <sz val="11"/>
        <rFont val="Times New Roman"/>
        <family val="1"/>
      </rPr>
      <t>70 mm inter locking cement conc. Block   M- 30 grade</t>
    </r>
    <r>
      <rPr>
        <sz val="12"/>
        <rFont val="Times New Roman"/>
        <family val="1"/>
      </rPr>
      <t xml:space="preserve"> </t>
    </r>
  </si>
  <si>
    <r>
      <t>c)</t>
    </r>
    <r>
      <rPr>
        <sz val="7"/>
        <rFont val="Times New Roman"/>
        <family val="1"/>
      </rPr>
      <t xml:space="preserve">       </t>
    </r>
    <r>
      <rPr>
        <sz val="11"/>
        <rFont val="Times New Roman"/>
        <family val="1"/>
      </rPr>
      <t>60 mm  inter locking cement concrete block  M- 30 grade</t>
    </r>
    <r>
      <rPr>
        <sz val="11"/>
        <rFont val="Arial"/>
        <family val="2"/>
      </rPr>
      <t xml:space="preserve"> </t>
    </r>
    <r>
      <rPr>
        <sz val="14"/>
        <rFont val="Preeti"/>
      </rPr>
      <t>3/sf]</t>
    </r>
    <r>
      <rPr>
        <sz val="11"/>
        <rFont val="Arial"/>
        <family val="2"/>
      </rPr>
      <t xml:space="preserve"> </t>
    </r>
    <r>
      <rPr>
        <sz val="11"/>
        <rFont val="Times New Roman"/>
        <family val="1"/>
      </rPr>
      <t>passage</t>
    </r>
    <r>
      <rPr>
        <sz val="11"/>
        <rFont val="Arial"/>
        <family val="2"/>
      </rPr>
      <t xml:space="preserve"> </t>
    </r>
    <r>
      <rPr>
        <sz val="14"/>
        <rFont val="Preeti"/>
      </rPr>
      <t>df 5fgfsf] nflu</t>
    </r>
  </si>
  <si>
    <r>
      <t xml:space="preserve">d)   </t>
    </r>
    <r>
      <rPr>
        <sz val="11"/>
        <rFont val="Times New Roman"/>
        <family val="1"/>
      </rPr>
      <t>70 mm inter locking cement conc. Block   M- 30 grade</t>
    </r>
  </si>
  <si>
    <r>
      <t>ii) Parquet size 1</t>
    </r>
    <r>
      <rPr>
        <vertAlign val="superscript"/>
        <sz val="12"/>
        <rFont val="Times New Roman"/>
        <family val="1"/>
      </rPr>
      <t>3</t>
    </r>
    <r>
      <rPr>
        <sz val="12"/>
        <rFont val="Times New Roman"/>
        <family val="1"/>
      </rPr>
      <t>/</t>
    </r>
    <r>
      <rPr>
        <vertAlign val="subscript"/>
        <sz val="12"/>
        <rFont val="Times New Roman"/>
        <family val="1"/>
      </rPr>
      <t xml:space="preserve">4 </t>
    </r>
    <r>
      <rPr>
        <sz val="12"/>
        <rFont val="Times New Roman"/>
        <family val="1"/>
      </rPr>
      <t>"×9"size</t>
    </r>
  </si>
  <si>
    <r>
      <t>iii) Parquet  size 2</t>
    </r>
    <r>
      <rPr>
        <vertAlign val="superscript"/>
        <sz val="12"/>
        <rFont val="Times New Roman"/>
        <family val="1"/>
      </rPr>
      <t>3</t>
    </r>
    <r>
      <rPr>
        <sz val="12"/>
        <rFont val="Times New Roman"/>
        <family val="1"/>
      </rPr>
      <t>/</t>
    </r>
    <r>
      <rPr>
        <vertAlign val="subscript"/>
        <sz val="12"/>
        <rFont val="Times New Roman"/>
        <family val="1"/>
      </rPr>
      <t>4</t>
    </r>
    <r>
      <rPr>
        <sz val="12"/>
        <rFont val="Times New Roman"/>
        <family val="1"/>
      </rPr>
      <t>"×12" size</t>
    </r>
  </si>
  <si>
    <r>
      <t xml:space="preserve">v) Old parquet flooring </t>
    </r>
    <r>
      <rPr>
        <sz val="14"/>
        <rFont val="Preeti"/>
      </rPr>
      <t xml:space="preserve">df u|fOl8Ë ug{} kfln; ug{} cflb sfd </t>
    </r>
  </si>
  <si>
    <t>b/ ljZn]if0fsf] nflu $=@) j=ld= lnOPsf]</t>
  </si>
  <si>
    <t>c:t/ jfx]s b'O{ sf]6 /]8 cS;fO8 k]G6 ug]{ sfd .</t>
  </si>
  <si>
    <r>
      <t xml:space="preserve">%) dL=dL= </t>
    </r>
    <r>
      <rPr>
        <sz val="11"/>
        <rFont val="Arial"/>
        <family val="2"/>
      </rPr>
      <t>Ø</t>
    </r>
    <r>
      <rPr>
        <sz val="14"/>
        <rFont val="Preeti"/>
      </rPr>
      <t xml:space="preserve"> sf] sfnf] kmnfd] kfO{k kf]i6 @ dL6/ b"/Ldf </t>
    </r>
  </si>
  <si>
    <r>
      <t>@%</t>
    </r>
    <r>
      <rPr>
        <sz val="11"/>
        <rFont val="Arial"/>
        <family val="2"/>
      </rPr>
      <t xml:space="preserve"> x</t>
    </r>
    <r>
      <rPr>
        <sz val="14"/>
        <rFont val="Preeti"/>
      </rPr>
      <t xml:space="preserve"> @% </t>
    </r>
    <r>
      <rPr>
        <sz val="11"/>
        <rFont val="Arial"/>
        <family val="2"/>
      </rPr>
      <t>x</t>
    </r>
    <r>
      <rPr>
        <sz val="14"/>
        <rFont val="Preeti"/>
      </rPr>
      <t xml:space="preserve"> $ dL=dL= ;fO{hsf] kmnfd] PËn k|m]ddf &amp; dL=dL=</t>
    </r>
    <r>
      <rPr>
        <sz val="10"/>
        <rFont val="Arial"/>
        <family val="2"/>
      </rPr>
      <t>Ø</t>
    </r>
    <r>
      <rPr>
        <sz val="14"/>
        <rFont val="Preeti"/>
      </rPr>
      <t xml:space="preserve"> kmnfd] 808Lsf] 8fouf]gnL hfnL</t>
    </r>
  </si>
  <si>
    <r>
      <t xml:space="preserve">^@ </t>
    </r>
    <r>
      <rPr>
        <sz val="11"/>
        <rFont val="Arial"/>
        <family val="2"/>
      </rPr>
      <t>x</t>
    </r>
    <r>
      <rPr>
        <sz val="12"/>
        <rFont val="Preeti"/>
      </rPr>
      <t xml:space="preserve"> ^@ dL=dL= ;fOhdf h8fg ug]{ / #</t>
    </r>
    <r>
      <rPr>
        <sz val="11"/>
        <rFont val="Arial"/>
        <family val="2"/>
      </rPr>
      <t>x</t>
    </r>
    <r>
      <rPr>
        <sz val="12"/>
        <rFont val="Preeti"/>
      </rPr>
      <t>@) sf] kmnfd] kftfsf] lu|n )=!% dL= cUnf] agfO{ dfly h8fg u/L</t>
    </r>
  </si>
  <si>
    <t>km]lj|s]zg u/L k|fOd/ k]G6 ;lxt ;Dk"0f{ sfo{ .</t>
  </si>
  <si>
    <r>
      <t>%) dL=dL=</t>
    </r>
    <r>
      <rPr>
        <sz val="10"/>
        <rFont val="Arial"/>
        <family val="2"/>
      </rPr>
      <t>Ø</t>
    </r>
    <r>
      <rPr>
        <sz val="13"/>
        <rFont val="Preeti"/>
      </rPr>
      <t xml:space="preserve"> kf]i6</t>
    </r>
  </si>
  <si>
    <r>
      <t>@%</t>
    </r>
    <r>
      <rPr>
        <sz val="11"/>
        <rFont val="Arial"/>
        <family val="2"/>
      </rPr>
      <t>x</t>
    </r>
    <r>
      <rPr>
        <sz val="11"/>
        <rFont val="Preeti"/>
      </rPr>
      <t>@%</t>
    </r>
    <r>
      <rPr>
        <sz val="11"/>
        <rFont val="Arial"/>
        <family val="2"/>
      </rPr>
      <t>x</t>
    </r>
    <r>
      <rPr>
        <sz val="11"/>
        <rFont val="Preeti"/>
      </rPr>
      <t>$ dL=dL= PËn</t>
    </r>
  </si>
  <si>
    <r>
      <t>kmnfd] kftfsf] lu|n #</t>
    </r>
    <r>
      <rPr>
        <sz val="11"/>
        <rFont val="Arial"/>
        <family val="2"/>
      </rPr>
      <t>x</t>
    </r>
    <r>
      <rPr>
        <sz val="13"/>
        <rFont val="Preeti"/>
      </rPr>
      <t>@) dL=dL=</t>
    </r>
  </si>
  <si>
    <t>&amp; dL=dL= kmnfd] 808L</t>
  </si>
  <si>
    <t>k|mflj|s]zg !%Ü</t>
  </si>
  <si>
    <t>ljleGg ;fO{hsf] kmnfd] PËn km]lj|s]zg u/L k|fOd/ k]G6 ;lxt ug]{ sfd .</t>
  </si>
  <si>
    <t xml:space="preserve">;fnsf] sf7n] qm; kfl6{;g u/L !@ dL=dL=sdl;{on KnfO{p8df b'a}tkm{ $ dL=dL=sf]  </t>
  </si>
  <si>
    <t>r'gfdf ˆnl;+u Knfi6/ nufpg] sfd =======================================================================</t>
  </si>
  <si>
    <t>l;d]G6df ˆnl;+u Knfi6/ nufpg] sfd =======================================================================</t>
  </si>
  <si>
    <t>@ ;]=dL=df]6fO{sf] l;d]G6 afn'jf -!M@_ df 8]Dk k|'lkmË ug]{ sfd =======================================================================</t>
  </si>
  <si>
    <t>tof/L l*:^]Dk/ -jf;]jn_</t>
  </si>
  <si>
    <t>kmf]?jf ('+uf- vf]nfsf]_</t>
  </si>
  <si>
    <t>kmf]?jf ('+uf-vfgLsf]_</t>
  </si>
  <si>
    <t>#=* ;]=dL=df]6fO{sf] l;d]G6 s+qmL6 -!M@M$_ df 8]Dk k|'lkmË ug]{ sfd =======================================================================</t>
  </si>
  <si>
    <t>lj6'dLg k]G6 8]Dk k|'km sf];{df nufO{ afn'jfn] 5f]Kg] sfd =======================================================================</t>
  </si>
  <si>
    <t>%)) u]hsf] kf]lnlyg zL6 Ps tx lj5\ofpg] sfd =======================================================================</t>
  </si>
  <si>
    <t xml:space="preserve">jLddf kmdf{ agfpg] sfd -jLdsf] prfO{ )=# dL= ;Dd_  =============================================================================================   </t>
  </si>
  <si>
    <t>c:t/ jfx]s b'O{ sf]6 cfNd'lgod k]G6 ug]{ sfd =======================================================================</t>
  </si>
  <si>
    <t xml:space="preserve">e'O{+tNnfdf lrDgL e§fsf] O{+6fsf] uf/f] l;d]G6 d;nf -!M#_ df  =============================================================================================   </t>
  </si>
  <si>
    <t>!) dL= k/ x6fpg] .</t>
  </si>
  <si>
    <t>lni6L</t>
  </si>
  <si>
    <t>White glazed wash basin 55X40cm with brackets 32mm bottle trap, 32mm CP waste coupling with CP chain and rubber plug, 15mm basin mixer ( jaquar or essco or eqv.) with pedestal  and  ½"x18" pipe connector etc  all complete.</t>
  </si>
  <si>
    <t>White glazed 55X40 cm  size Indian pattern wash basin  with pedestal and basin mixer etc  all complete.</t>
  </si>
  <si>
    <t>White glazed  wash basin 55X40cm with brackets 32mm bottle trap, 32mm CP waste coupling with CP chain and rubber plug, 15mm fancy type piller cock and  ½"x18" pipe connector etc  all complete.</t>
  </si>
  <si>
    <t>White glazed  wash basin 55X40cm all complete set.</t>
  </si>
  <si>
    <t>White glazed  Corner wash basin 40X40cm with brackets 32mm bottle trap, 32mm CP waste coupling with CP chain and rubber plug, 15mm fancy type piller cock and  ½"x18" pipe connector etc  all complete.</t>
  </si>
  <si>
    <t>White glazed  Corner wash basin 40X40cm all complete set.</t>
  </si>
  <si>
    <t>9'jfgL ug]{ ;tx ;kmf ug{] kfgLn] lehfpg] / Knfi6/ ug]{ .</t>
  </si>
  <si>
    <t>e';f</t>
  </si>
  <si>
    <t>uf]a/</t>
  </si>
  <si>
    <t xml:space="preserve">uf/f]df !@ dL=dL= afSnf] df6f]sf] Knfi6/ -lnpg_ nufpg] sfd, d;nf tof/ kf/L </t>
  </si>
  <si>
    <t>#) dL= ;Dd 9'jfgL ug]{, ;tx ;kmf kfg]{, kfgLn] lehfpg] / Knfi6/ ug]{ .</t>
  </si>
  <si>
    <t>gofF ;km]{;df XjfO{6jf; b'O{sf]6 ug]{ sfd -l;ln+udf_</t>
  </si>
  <si>
    <t>;]tf] r'gf</t>
  </si>
  <si>
    <t># dL=dL= df]6fO{ d;Lgf] l;d]G6 3f]6\g] sfd ========================================================</t>
  </si>
  <si>
    <t>b'O{ sf]6 PNo'ldlgod k]G6 nufpg] sfd =======================================================================</t>
  </si>
  <si>
    <t>Ps tx tf/km]N6 sfd =================================================================================</t>
  </si>
  <si>
    <t>8]Dk k|'km u|]8 6f/km]N6 Ps tx nufpg] =======================================================================</t>
  </si>
  <si>
    <t>Functional and High builds epoxy coating on floor 400 micron(for pharmaceutical and hospitals floor)</t>
  </si>
  <si>
    <t>Urinal 46.5X35.5X26.5cm White glazed with complete set .</t>
  </si>
  <si>
    <t>White glazed 61X41X38cm  large flat back Urinal all complete set.</t>
  </si>
  <si>
    <t xml:space="preserve"> 45X35X27.5cm Angle back Urinal  all complete set .</t>
  </si>
  <si>
    <t>45X35X27.5cm Angle back Urinal  all complete set.</t>
  </si>
  <si>
    <t xml:space="preserve"> 45X35cm Squating Plate Urinal  all complete set .</t>
  </si>
  <si>
    <t>45X35cm Squating Plate Urinal  all complete set.</t>
  </si>
  <si>
    <t xml:space="preserve"> 68X30cm size Urinal  partation all complete set .</t>
  </si>
  <si>
    <t xml:space="preserve"> 300 lit. 3 panel solar heater  fixing with electric booster all complete.</t>
  </si>
  <si>
    <t xml:space="preserve"> 900 lit. G.I water tank fixing  all complete.</t>
  </si>
  <si>
    <t>900 lit. G.I water tank fixing all complete.</t>
  </si>
  <si>
    <t>nos</t>
  </si>
  <si>
    <t xml:space="preserve"> 1350 lit. G.I water tank fixing  all complete.</t>
  </si>
  <si>
    <t>1350 lit. G.I water tank fixing all complete.</t>
  </si>
  <si>
    <t>Recess type Soap Dish , American Standard with necessary accessories.</t>
  </si>
  <si>
    <t xml:space="preserve"> Porecelene clay Soap Tray 6"x6"  Recessed type with necessary accessories all complete.</t>
  </si>
  <si>
    <t>Porecelene clay Soap Tray 6"x6"  Recessed type with necessary accessories all complete.</t>
  </si>
  <si>
    <t xml:space="preserve">Chrome plated soap tray 6"x6" with necessary accessories </t>
  </si>
  <si>
    <t>lh=cfO{ afWg] tf/</t>
  </si>
  <si>
    <r>
      <t xml:space="preserve">$=% </t>
    </r>
    <r>
      <rPr>
        <sz val="9"/>
        <rFont val="Arial"/>
        <family val="2"/>
      </rPr>
      <t>X</t>
    </r>
    <r>
      <rPr>
        <sz val="14"/>
        <rFont val="Preeti"/>
      </rPr>
      <t xml:space="preserve"> @) dL=dL=u|Ln jgfO{ hf]8\g] sfd -k]G6 ;d]t_ =======================================================================</t>
    </r>
  </si>
  <si>
    <r>
      <t>Black Pipe Tubular truss</t>
    </r>
    <r>
      <rPr>
        <sz val="14"/>
        <rFont val="Kanchan"/>
      </rPr>
      <t xml:space="preserve"> </t>
    </r>
    <r>
      <rPr>
        <sz val="14"/>
        <rFont val="Preeti"/>
      </rPr>
      <t xml:space="preserve">h8fg ug]{ sfd </t>
    </r>
    <r>
      <rPr>
        <sz val="12"/>
        <rFont val="Preeti"/>
      </rPr>
      <t xml:space="preserve">-k|fOd/ k]G6 ;lxt_ </t>
    </r>
    <r>
      <rPr>
        <sz val="14"/>
        <rFont val="Preeti"/>
      </rPr>
      <t>===================================</t>
    </r>
  </si>
  <si>
    <r>
      <t>Black Pipe Tubular Purlin</t>
    </r>
    <r>
      <rPr>
        <sz val="14"/>
        <rFont val="Kanchan"/>
      </rPr>
      <t xml:space="preserve"> </t>
    </r>
    <r>
      <rPr>
        <sz val="14"/>
        <rFont val="Preeti"/>
      </rPr>
      <t xml:space="preserve">agfO{ h8fg ug]{ sfd </t>
    </r>
    <r>
      <rPr>
        <sz val="12"/>
        <rFont val="Preeti"/>
      </rPr>
      <t>-k|fOd/ k]G6 ;lxt_</t>
    </r>
    <r>
      <rPr>
        <sz val="14"/>
        <rFont val="Preeti"/>
      </rPr>
      <t xml:space="preserve">  =======================</t>
    </r>
  </si>
  <si>
    <r>
      <t xml:space="preserve">k'/fgf] b/jf/sf] jflx/L efudf Pssf]6 </t>
    </r>
    <r>
      <rPr>
        <sz val="10"/>
        <rFont val="Arial"/>
        <family val="2"/>
      </rPr>
      <t>White Wash</t>
    </r>
    <r>
      <rPr>
        <sz val="14"/>
        <rFont val="Kanchan"/>
      </rPr>
      <t xml:space="preserve"> </t>
    </r>
    <r>
      <rPr>
        <sz val="14"/>
        <rFont val="Preeti"/>
      </rPr>
      <t>ug]{ =======================================================================</t>
    </r>
  </si>
  <si>
    <t>lj^'ldg jf;/</t>
  </si>
  <si>
    <t>:n]^</t>
  </si>
  <si>
    <t>d]lzg d]* w'/L</t>
  </si>
  <si>
    <t>xfl)*n ;fwf/)f</t>
  </si>
  <si>
    <r>
      <t>CGI</t>
    </r>
    <r>
      <rPr>
        <sz val="13"/>
        <rFont val="Preeti"/>
      </rPr>
      <t xml:space="preserve"> </t>
    </r>
    <r>
      <rPr>
        <sz val="10"/>
        <rFont val="Preeti"/>
      </rPr>
      <t xml:space="preserve">kftf @$ u]h </t>
    </r>
    <r>
      <rPr>
        <sz val="8"/>
        <rFont val="Arial"/>
        <family val="2"/>
      </rPr>
      <t>(0.50mm)</t>
    </r>
  </si>
  <si>
    <t xml:space="preserve">channels, fixing 9.0-12.5mm thick MPL (metalised polyster laminated) board or MPL boral  </t>
  </si>
  <si>
    <t>-Ps sf]6 k|fO{d/ ;lxt_</t>
  </si>
  <si>
    <t>-Ps sf]6 c:t/ ;lxt_</t>
  </si>
  <si>
    <t>kmnfd] PËn km]lj|s]zg h8fg ug]{ sfd =======================================================================</t>
  </si>
  <si>
    <t>Knf:^/ ckm k]l/; 8 " rf}*f sfg]{; / df]*lnª ug{]</t>
  </si>
  <si>
    <t>lhk;d af]*{ jfn Kofglnª</t>
  </si>
  <si>
    <t>b'O{ sf]6 afg]{; nufpg] sfd ===============================================================================</t>
  </si>
  <si>
    <t>!%@=</t>
  </si>
  <si>
    <t>!%#=</t>
  </si>
  <si>
    <t>!%$=</t>
  </si>
  <si>
    <t>!%%=</t>
  </si>
  <si>
    <t>!%^=</t>
  </si>
  <si>
    <t>sfo{ ;d"x …8Ú M– jf6/ k|'lkm+u ug]{ sfd</t>
  </si>
  <si>
    <t>!%&amp;=</t>
  </si>
  <si>
    <t>!%*=</t>
  </si>
  <si>
    <t>!%(=</t>
  </si>
  <si>
    <t>!^)=</t>
  </si>
  <si>
    <t>!^!=</t>
  </si>
  <si>
    <t>!^#=</t>
  </si>
  <si>
    <t>!^$=</t>
  </si>
  <si>
    <t>sfo{ ;d"x …9Ú M– dd{t ;DaGwL sfd</t>
  </si>
  <si>
    <t>!^%=</t>
  </si>
  <si>
    <t>!^^=</t>
  </si>
  <si>
    <t>!^&amp;=</t>
  </si>
  <si>
    <t>!^*=</t>
  </si>
  <si>
    <t>!^(=</t>
  </si>
  <si>
    <t>!&amp;)=</t>
  </si>
  <si>
    <t>!&amp;!=</t>
  </si>
  <si>
    <t>!&amp;@=</t>
  </si>
  <si>
    <t>sfo{ ;d"x …0fÚ M– kmnfdsf] sfd</t>
  </si>
  <si>
    <t>!&amp;#=</t>
  </si>
  <si>
    <t>!&amp;$=</t>
  </si>
  <si>
    <t xml:space="preserve">Knf:^/ ckm k]l/; </t>
  </si>
  <si>
    <t>ljleGg k|sf/sf] Rofgnx?</t>
  </si>
  <si>
    <t>* dLdL= g6 af]N6</t>
  </si>
  <si>
    <t>cfjZos g6 af]N6</t>
  </si>
  <si>
    <r>
      <t>l;len sfo{x? -</t>
    </r>
    <r>
      <rPr>
        <b/>
        <sz val="20"/>
        <rFont val="Arial"/>
        <family val="2"/>
      </rPr>
      <t xml:space="preserve">Civil works </t>
    </r>
    <r>
      <rPr>
        <b/>
        <sz val="20"/>
        <rFont val="Preeti"/>
      </rPr>
      <t>_</t>
    </r>
  </si>
  <si>
    <r>
      <t xml:space="preserve">9'+ufsf] sfd </t>
    </r>
    <r>
      <rPr>
        <b/>
        <sz val="12"/>
        <rFont val="Times New Roman"/>
        <family val="1"/>
      </rPr>
      <t>(Rubble Stone)</t>
    </r>
  </si>
  <si>
    <r>
      <t xml:space="preserve">-s_ 7'nf] ;fOhsf] vfgLsf] 9'+uf </t>
    </r>
    <r>
      <rPr>
        <sz val="13"/>
        <rFont val="Preeti"/>
      </rPr>
      <t>-</t>
    </r>
    <r>
      <rPr>
        <sz val="11"/>
        <rFont val="Times New Roman"/>
        <family val="1"/>
      </rPr>
      <t>Quarry  stone)</t>
    </r>
  </si>
  <si>
    <r>
      <t xml:space="preserve">-v_ 7'nf] ;fOhsf] vf]nfsf] 9'+uf </t>
    </r>
    <r>
      <rPr>
        <sz val="12"/>
        <rFont val="Times New Roman"/>
        <family val="1"/>
      </rPr>
      <t>(River Stone)</t>
    </r>
  </si>
  <si>
    <r>
      <t xml:space="preserve"> -v_ :yfgLo 9'Ëf </t>
    </r>
    <r>
      <rPr>
        <sz val="12"/>
        <rFont val="Times New Roman"/>
        <family val="1"/>
      </rPr>
      <t xml:space="preserve">(Av. Lead 500 m. </t>
    </r>
    <r>
      <rPr>
        <sz val="14"/>
        <rFont val="Preeti"/>
      </rPr>
      <t>;Ddsf]</t>
    </r>
    <r>
      <rPr>
        <sz val="14"/>
        <rFont val="Times New Roman"/>
        <family val="1"/>
      </rPr>
      <t>)</t>
    </r>
  </si>
  <si>
    <r>
      <t xml:space="preserve">;8ssf] </t>
    </r>
    <r>
      <rPr>
        <b/>
        <sz val="14"/>
        <rFont val="Times New Roman"/>
        <family val="1"/>
      </rPr>
      <t>Sub-base/base course</t>
    </r>
    <r>
      <rPr>
        <b/>
        <sz val="14"/>
        <rFont val="Preeti"/>
      </rPr>
      <t xml:space="preserve"> sf nflu k|of]u ul/g] lgdf{0f ;fdfu|L</t>
    </r>
  </si>
  <si>
    <r>
      <t xml:space="preserve">-s_ :yfgLo vf]nfsf] u|fe]n </t>
    </r>
    <r>
      <rPr>
        <sz val="12"/>
        <rFont val="Times New Roman"/>
        <family val="1"/>
      </rPr>
      <t>(Local)</t>
    </r>
  </si>
  <si>
    <r>
      <t xml:space="preserve"> -ª_ </t>
    </r>
    <r>
      <rPr>
        <sz val="12"/>
        <rFont val="Times New Roman"/>
        <family val="1"/>
      </rPr>
      <t>Granular Sub-base material</t>
    </r>
  </si>
  <si>
    <t xml:space="preserve">  !@ dL=dL= jfSnf] !)) dL=dL=prfO{sf] sf7sf] kfs]{6n] sf]7fx?df </t>
  </si>
  <si>
    <t xml:space="preserve"> Supply and fixing of  Iron gate made up of 16 gauge black sheet on 50 X 50 X 4 mm M.S. angle frame including with all necessary accessories, all complete. </t>
  </si>
  <si>
    <t xml:space="preserve"> Supply and fixing of  Iron gate made up of 16 gauge black sheet on 50 X 50 X 4 mm M.S. angle frame.</t>
  </si>
  <si>
    <t>40mm ball cock</t>
  </si>
  <si>
    <t xml:space="preserve"> white glazed OVAL  wash basin 55X40mm with brackets 32mm bottle trap, 32mm CP waste coupling with CP chain and rubber plug, 15mm fancy type Mixer and  ½"x18" pipe connector etc  all complete.</t>
  </si>
  <si>
    <t xml:space="preserve"> Kitchen sink stainless steel 90 cm long  with sink mixer and instruction all complete.</t>
  </si>
  <si>
    <t>Kitchen sink stainless steel 90 cm long  with sink mixer and instruction all complete.</t>
  </si>
  <si>
    <t xml:space="preserve"> white glazed   wash basin 55X40mm with brackets 32mm bottle trap, 32mm CP waste coupling with CP chain and rubber plug, and  ½"x18" pipe connector etc  all complete. Except piller cock</t>
  </si>
  <si>
    <t xml:space="preserve"> white glazed   wash basin 55X40mm with brackets 32mm bottle trap, 32mm CP waste coupling with CP chain and rubber plug, and  ½"x18" pipe connector etc  all complete. With mixer</t>
  </si>
  <si>
    <t>Construction of 20 user septic tank  all complete work as per drawing and specification.</t>
  </si>
  <si>
    <t>site clearance</t>
  </si>
  <si>
    <t>Ls</t>
  </si>
  <si>
    <t>Earth work in excavtion in Well (Hard soil) and pumping  water and soil by electric equipment</t>
  </si>
  <si>
    <t>cu.m</t>
  </si>
  <si>
    <t>4'-0"  dia. Rcc Ring for well</t>
  </si>
  <si>
    <t>3' -6"  dia. Rcc Ring for well</t>
  </si>
  <si>
    <t>15mm dia brass bib cock</t>
  </si>
  <si>
    <t>15mm dia  Flexiable pipe</t>
  </si>
  <si>
    <t xml:space="preserve"> White galze Porcelain clay 500 mm Indian pan  with P or S trap all complete set</t>
  </si>
  <si>
    <t>dfn;fdfg pknAw u/L )=$! dL=dL= afSnf] ;L=hL=cfO{= zL6 -h:tf kftfsf]_ 5fgf 5fpg] sfd k'/f .</t>
  </si>
  <si>
    <r>
      <t xml:space="preserve">!) </t>
    </r>
    <r>
      <rPr>
        <sz val="10"/>
        <rFont val="Arial"/>
        <family val="2"/>
      </rPr>
      <t>S.W.G.G. I. Chain Link</t>
    </r>
    <r>
      <rPr>
        <sz val="14"/>
        <rFont val="Preeti"/>
      </rPr>
      <t xml:space="preserve">  @Æ</t>
    </r>
    <r>
      <rPr>
        <sz val="8"/>
        <rFont val="Arial"/>
        <family val="2"/>
      </rPr>
      <t>x</t>
    </r>
    <r>
      <rPr>
        <sz val="14"/>
        <rFont val="Preeti"/>
      </rPr>
      <t>@Æ sf] d]; ;fOh</t>
    </r>
  </si>
  <si>
    <t xml:space="preserve"> sf7sf] k|m]ddf d:SjL6f] k|'km hfnL lnli6åf/f h8fg ug]{ sfo{ .</t>
  </si>
  <si>
    <r>
      <t>b/ ljZn]if0fsf] nflu !</t>
    </r>
    <r>
      <rPr>
        <sz val="11"/>
        <rFont val="Preeti"/>
      </rPr>
      <t xml:space="preserve"> j=ld= lnOPsf]</t>
    </r>
  </si>
  <si>
    <t>sf7sf] lni6L</t>
  </si>
  <si>
    <t>d:SjL6f] k|'km hfnL</t>
  </si>
  <si>
    <r>
      <t xml:space="preserve">%) </t>
    </r>
    <r>
      <rPr>
        <sz val="10"/>
        <rFont val="Arial"/>
        <family val="2"/>
      </rPr>
      <t>X</t>
    </r>
    <r>
      <rPr>
        <sz val="16"/>
        <rFont val="Preeti"/>
      </rPr>
      <t xml:space="preserve"> &amp;% dL=dL= ;fO{hsf] ;Nnf] s' sf7sf] ^)) </t>
    </r>
    <r>
      <rPr>
        <sz val="10"/>
        <rFont val="Arial"/>
        <family val="2"/>
      </rPr>
      <t>X</t>
    </r>
    <r>
      <rPr>
        <sz val="16"/>
        <rFont val="Preeti"/>
      </rPr>
      <t xml:space="preserve"> ()) dL= dL= sf] </t>
    </r>
  </si>
  <si>
    <t>;Nnf] s' sf7</t>
  </si>
  <si>
    <t>lzzf} sf7sf]</t>
  </si>
  <si>
    <t>sf] agfO{</t>
  </si>
  <si>
    <t>lkml6Ë ug]{</t>
  </si>
  <si>
    <t>e'O{+tNnfdf O{+6fsf] uf/f] nufpg] sfd l;d]G6 d;nf -!M#_ df=====================================</t>
  </si>
  <si>
    <t>e'O{+tNnfeGbf dfly O{+++6fsf] uf/f] nufpg] sfd l;d]G6 d;nf -!M#_ df======================</t>
  </si>
  <si>
    <t>1.5 cm CP flush cock with sreader all complete.</t>
  </si>
  <si>
    <t>1.5 cm CP flush cock with sreader.</t>
  </si>
  <si>
    <t>Flange 80 mm dia size</t>
  </si>
  <si>
    <t>Flange 100 mm dia size</t>
  </si>
  <si>
    <t>Motor starter switch all complete.</t>
  </si>
  <si>
    <t>Motor starter switch.</t>
  </si>
  <si>
    <t xml:space="preserve"> Pressure sensor switch all complete.</t>
  </si>
  <si>
    <t>Pressure sensor switch.</t>
  </si>
  <si>
    <t>Fire post all complete.</t>
  </si>
  <si>
    <t>Fire post.</t>
  </si>
  <si>
    <t>20 HP electric motor pump all complete.</t>
  </si>
  <si>
    <t>20 HP electric motor pump.</t>
  </si>
  <si>
    <t>Fire hose reel all complete.</t>
  </si>
  <si>
    <t>Fire hose reel.</t>
  </si>
  <si>
    <t>G.M. 25 mm Float Valve</t>
  </si>
  <si>
    <t>Grab Bar American Standard</t>
  </si>
  <si>
    <t>Euro guard filter all complete.</t>
  </si>
  <si>
    <t>OPAL RMP</t>
  </si>
  <si>
    <t>ROAD MARKING PAINTS</t>
  </si>
  <si>
    <t>Road marking paints are versatile for marking on the metalled and concrete surface of roads, air stripe etc. They are two type water based and sprit based white and golden yellow colour.</t>
  </si>
  <si>
    <t>Aluminium Door &amp; Windos</t>
  </si>
  <si>
    <t>Mention rates are including supplying of necessary chemicals, materials,fittings, labours as per manufacturer's specifications all complete or as per consultant's direction.</t>
  </si>
  <si>
    <t>Aluminum fixed panel window without ventilator from section. (88×38×1.30) mm and 5 mm glass.</t>
  </si>
  <si>
    <t>Making and fitting flush door shutter of 38 x 100 mm size sal wood frame with 28gauge G.I thick G.I  plain sheet on both side.</t>
  </si>
  <si>
    <t xml:space="preserve">Making and fitting of G.I. Mosquito net shutter with diamond chicken wire mesh with 38mm thick seasoned salwood frame including hinges, towerbolts, handles, locking set etc all complete. </t>
  </si>
  <si>
    <t>(G.M.) check valve 15mm dia</t>
  </si>
  <si>
    <t xml:space="preserve">(G.M.) check valve 20mm dia medium quality </t>
  </si>
  <si>
    <t>(G.M.) check valve 20mm dia</t>
  </si>
  <si>
    <t xml:space="preserve">(G.M.) check valve 25mm dia medium quality </t>
  </si>
  <si>
    <t>(G.M.) check valve 25mm dia</t>
  </si>
  <si>
    <t xml:space="preserve">(G.M.) check valve 32mm dia medium quality </t>
  </si>
  <si>
    <t>(G.M.) check valve 32mm dia</t>
  </si>
  <si>
    <t xml:space="preserve">(G.M.) check valve 50mm dia medium quality </t>
  </si>
  <si>
    <t>(G.M.) check valve 50mm dia</t>
  </si>
  <si>
    <t xml:space="preserve">(G.M.) check valve 65mm dia medium quality </t>
  </si>
  <si>
    <t>(G.M.) check valve 65mm dia</t>
  </si>
  <si>
    <t xml:space="preserve">(G.M.) check valve 80mm dia medium quality </t>
  </si>
  <si>
    <t>(G.M.) check valve 80mm dia</t>
  </si>
  <si>
    <t>Ordinary type C.P. Pillar cock 15mm dia.</t>
  </si>
  <si>
    <t xml:space="preserve"> 15mm dia concealed valve ordinary type </t>
  </si>
  <si>
    <t>15mm dia concealed valve ordinary type.</t>
  </si>
  <si>
    <t xml:space="preserve"> (G.M.) gate valve 15mm dia full way medium </t>
  </si>
  <si>
    <t xml:space="preserve">G.M. gate valve 15mm dia </t>
  </si>
  <si>
    <t xml:space="preserve"> (G.M.) gate valve 20mm dia full way medium </t>
  </si>
  <si>
    <t xml:space="preserve">G.M.gate valve 20mm dia </t>
  </si>
  <si>
    <t xml:space="preserve">(G.M.) gate valve 25mm dia full way medium  </t>
  </si>
  <si>
    <t>G.M. gate valve 25mm dia</t>
  </si>
  <si>
    <t xml:space="preserve">(G.M.) gate valve 32mm dia full way medium  </t>
  </si>
  <si>
    <t>G.M. gate valve 32mm dia</t>
  </si>
  <si>
    <t xml:space="preserve">(G.M.) gate valve 40mm dia full way medium  </t>
  </si>
  <si>
    <t>G.M.gate valve 40mm dia</t>
  </si>
  <si>
    <t xml:space="preserve">(G.M.) gate valve 50mm dia full way medium  </t>
  </si>
  <si>
    <t>G.M.gate valve 50mm dia</t>
  </si>
  <si>
    <t xml:space="preserve">(G.M.) gate valve 65mm dia full way medium  </t>
  </si>
  <si>
    <t>G.M.gate valve 65mm dia</t>
  </si>
  <si>
    <t xml:space="preserve">(G.M.) gate valve 80mm dia full way medium  </t>
  </si>
  <si>
    <t>G.M.gate valve 80mm dia</t>
  </si>
  <si>
    <t xml:space="preserve">(G.M.) gate valve 100mm dia full way medium  </t>
  </si>
  <si>
    <t>G.M.gate valve 100mm dia</t>
  </si>
  <si>
    <t xml:space="preserve">(G.M.) check valve 15mm dia medium quality </t>
  </si>
  <si>
    <t xml:space="preserve"> 1800 lit. G.I water tank fixing  all complete.</t>
  </si>
  <si>
    <t>1800 lit. G.I water tank fixing.</t>
  </si>
  <si>
    <t xml:space="preserve"> 2250 lit. G.I water tank fixing  all complete.</t>
  </si>
  <si>
    <t>2250 lit. G.I water tank fixing.</t>
  </si>
  <si>
    <t xml:space="preserve"> 1000 lit capacity PVC water tank HilTake or equivalent</t>
  </si>
  <si>
    <t>1000 lit capacity PVC water tank HilTake or equivalent</t>
  </si>
  <si>
    <t xml:space="preserve"> 1HPChinese Submersible Water Pump</t>
  </si>
  <si>
    <t>1HPChinese Submersible Water Pump</t>
  </si>
  <si>
    <t xml:space="preserve"> 1HP Electric motor  Submersible Water Pump Italian</t>
  </si>
  <si>
    <t>C P High flow divertor with single lever  (Eoropean pattern)</t>
  </si>
  <si>
    <t>15mm C P bath spout  (European pattern)</t>
  </si>
  <si>
    <t>15mm C P bath spout  (Eoropean pattern)</t>
  </si>
  <si>
    <t>C P Telephonic shower  (European pattern)</t>
  </si>
  <si>
    <t>C P Telephonic shower  (Eoropean pattern)</t>
  </si>
  <si>
    <t>C P Basin mixer  (European pattern)</t>
  </si>
  <si>
    <t>C P Basin mixer  (Eoropean pattern)</t>
  </si>
  <si>
    <t>C P hygenic spray  (European pattern)</t>
  </si>
  <si>
    <t>C P hygenic spray  (Eoropean pattern)</t>
  </si>
  <si>
    <t>CP corner shelf  (European pattern)</t>
  </si>
  <si>
    <t>CP corner shelf  (Eoropean pattern)</t>
  </si>
  <si>
    <t>C P Grab bar (European pattern)</t>
  </si>
  <si>
    <t>C P Grab bar (Eoropean pattern)</t>
  </si>
  <si>
    <t>C P Towel rack (European pattern)</t>
  </si>
  <si>
    <t>C P Towel rack (Eoropean pattern)</t>
  </si>
  <si>
    <t>15mm Insulation</t>
  </si>
  <si>
    <t>C P Soap dish (Eoropean pattern)</t>
  </si>
  <si>
    <t>15 mm CP Bath Spout European Pattern American Standard all complete.</t>
  </si>
  <si>
    <t>Sensor Mixer for basin Battery Operating all complete.</t>
  </si>
  <si>
    <t xml:space="preserve"> CP sink mixer all complete.</t>
  </si>
  <si>
    <t>CP sink mixer.</t>
  </si>
  <si>
    <t>CI cover 45x45 cm size (medium) all complete.</t>
  </si>
  <si>
    <t>CI cover 45x45 cm size (medium).</t>
  </si>
  <si>
    <t>CI cover 55x55 cm size ( medium) all complete.</t>
  </si>
  <si>
    <t>CI cover 55x55 cm size    ( medium).</t>
  </si>
  <si>
    <r>
      <t>2x</t>
    </r>
    <r>
      <rPr>
        <vertAlign val="superscript"/>
        <sz val="12"/>
        <color indexed="10"/>
        <rFont val="Arial"/>
        <family val="2"/>
      </rPr>
      <t>3/20</t>
    </r>
    <r>
      <rPr>
        <vertAlign val="superscript"/>
        <sz val="14"/>
        <color indexed="10"/>
        <rFont val="Arial"/>
        <family val="2"/>
      </rPr>
      <t xml:space="preserve"> pvc copper wire for light</t>
    </r>
  </si>
  <si>
    <t>0.41 mm CGI sheet roofing with proper shape &amp; size, all necessary nails, screws, bolts, nuts washers, J or L hooks etc as per drawing &amp; instruction all complete.</t>
  </si>
  <si>
    <t>Sanitary Works</t>
  </si>
  <si>
    <t>White glazed earthenware Indian pattern W C  580mm Orissa Pan with 3.0gallons low level flushing cistern with complete accessories including bracket, flushing pipe,pipe connector etc. all complete set</t>
  </si>
  <si>
    <t>Local chimney made  Brickwork in mud mortar for superstructure .</t>
  </si>
  <si>
    <t xml:space="preserve">Rubble masonry in 1:3 C/S mortar in perfect line level finish including, racking the joints and curing the work for at least 7 days all complete. </t>
  </si>
  <si>
    <t xml:space="preserve">Rubble masonry in 1:3 C/S mortar </t>
  </si>
  <si>
    <t xml:space="preserve">Rubble masonry in 1:4 C/S mortar in perfect line level finish including, racking the joints and curing the work for at least 7 days all complete. </t>
  </si>
  <si>
    <t xml:space="preserve">Rubble masonry in 1:4 C/S mortar. </t>
  </si>
  <si>
    <t>20mm thick cement sand plaster in (1:4) ratio on floor of good finish including racking the joint, wetting of surfaces &amp; curing the work all complete.</t>
  </si>
  <si>
    <t>Wall Bracket/Spot Light/Mirror Light best quality Homedec,Decon or ISI eqv.</t>
  </si>
  <si>
    <t>Dome light 8" Silver Cast Milky Base Decorative set Homedec,DECON or ISI Eqv.</t>
  </si>
  <si>
    <t>Dome light 8" Black Cast Milky Base Decorative set Homedec,DECON or ISI Eqv.</t>
  </si>
  <si>
    <t>Bollard Graden light Medium size Homedec,DECON or ISI eqv.</t>
  </si>
  <si>
    <t>Bollard Graden light Full size Homedec,DECON or ISI eqv.</t>
  </si>
  <si>
    <r>
      <t>!</t>
    </r>
    <r>
      <rPr>
        <vertAlign val="superscript"/>
        <sz val="16"/>
        <color indexed="10"/>
        <rFont val="Preeti"/>
      </rPr>
      <t>!</t>
    </r>
    <r>
      <rPr>
        <sz val="16"/>
        <color indexed="10"/>
        <rFont val="Preeti"/>
      </rPr>
      <t>÷</t>
    </r>
    <r>
      <rPr>
        <vertAlign val="subscript"/>
        <sz val="16"/>
        <color indexed="10"/>
        <rFont val="Preeti"/>
      </rPr>
      <t>@</t>
    </r>
    <r>
      <rPr>
        <sz val="16"/>
        <color indexed="10"/>
        <rFont val="Preeti"/>
      </rPr>
      <t xml:space="preserve">Æ Jof;sf] sfnf] kfO{ksf] x\of0/]n jgfO{ ;KnfO{, h8fg Pj+ k|fO{d/ k]G6 </t>
    </r>
  </si>
  <si>
    <t>RJ 45 Computer Socket</t>
  </si>
  <si>
    <t>20 Amp heavy load switch with indicator</t>
  </si>
  <si>
    <t>1x20 Watt F.T.L Patti fitting Crompton,Anchor,Bajaj  or equivalent</t>
  </si>
  <si>
    <t>1x40 Watt F.T.L Patti fitting Crompton,Anchor,Bajaj  or equivalent</t>
  </si>
  <si>
    <t>1x/20 Watt F.T.L Box fitting Crompton,Anchor,Bajaj  or equivalent</t>
  </si>
  <si>
    <t>Garden Post lamp HL 2220 width 165mm height 765mm mild steel post with PL lamp,Homedec or eqv.</t>
  </si>
  <si>
    <r>
      <t xml:space="preserve">b/ ljZn]if0fsf] nflu !=*@( </t>
    </r>
    <r>
      <rPr>
        <sz val="8"/>
        <rFont val="Arial"/>
        <family val="2"/>
      </rPr>
      <t>X</t>
    </r>
    <r>
      <rPr>
        <sz val="11"/>
        <rFont val="Preeti"/>
      </rPr>
      <t xml:space="preserve"> !=@@ Ö @=@# j=ld= lnOPsf]</t>
    </r>
  </si>
  <si>
    <t>b'a}tkm{ $ dL=dL= l6sKnfO{p8 n]ldg]6 u/L KnfO{sf] l8nfvfkf agfO{ h8fg ug]{ .</t>
  </si>
  <si>
    <t xml:space="preserve">Supplying and laying of good quality marbal in cement sand motar (1:2) ratio with approved colour on floors, skirting and wall s all complete. </t>
  </si>
  <si>
    <t>Marbal in cement sand motar (1:2) ratio with approved colour on floors, skirting and wall.</t>
  </si>
  <si>
    <r>
      <t xml:space="preserve"> 8_ -^)</t>
    </r>
    <r>
      <rPr>
        <sz val="12"/>
        <rFont val="Times New Roman"/>
        <family val="1"/>
      </rPr>
      <t>×</t>
    </r>
    <r>
      <rPr>
        <sz val="12"/>
        <rFont val="Preeti"/>
      </rPr>
      <t xml:space="preserve">()_ ;]=ld   </t>
    </r>
  </si>
  <si>
    <r>
      <t xml:space="preserve">!^ dL=dL afSnf] /fh:yfgL </t>
    </r>
    <r>
      <rPr>
        <sz val="12"/>
        <rFont val="Times New Roman"/>
        <family val="1"/>
      </rPr>
      <t>wonder marble</t>
    </r>
  </si>
  <si>
    <r>
      <t xml:space="preserve">Un]h 6foN; - !@  Æ </t>
    </r>
    <r>
      <rPr>
        <sz val="12"/>
        <rFont val="Times New Roman"/>
        <family val="1"/>
      </rPr>
      <t xml:space="preserve">x  </t>
    </r>
    <r>
      <rPr>
        <sz val="12"/>
        <rFont val="Preeti"/>
      </rPr>
      <t>* Æ _ ;Ddsf] .</t>
    </r>
  </si>
  <si>
    <r>
      <t xml:space="preserve">Un]h 6foN; - !@  Æ </t>
    </r>
    <r>
      <rPr>
        <sz val="12"/>
        <rFont val="Times New Roman"/>
        <family val="1"/>
      </rPr>
      <t xml:space="preserve">x  </t>
    </r>
    <r>
      <rPr>
        <sz val="12"/>
        <rFont val="Preeti"/>
      </rPr>
      <t>!@ Æ _ dflfysf] .</t>
    </r>
  </si>
  <si>
    <r>
      <t>Border Tile</t>
    </r>
    <r>
      <rPr>
        <sz val="12"/>
        <rFont val="Preeti"/>
      </rPr>
      <t xml:space="preserve"> - @  Æ </t>
    </r>
    <r>
      <rPr>
        <sz val="12"/>
        <rFont val="Times New Roman"/>
        <family val="1"/>
      </rPr>
      <t xml:space="preserve">x  </t>
    </r>
    <r>
      <rPr>
        <sz val="12"/>
        <rFont val="Preeti"/>
      </rPr>
      <t>* Æ _</t>
    </r>
  </si>
  <si>
    <t>0.50mm colour GI plain sheet for ridge cover on roofing.</t>
  </si>
  <si>
    <t>0.5mm GI colour sheet for gutter on roofing.</t>
  </si>
  <si>
    <t>0.5mm GI plain sheet for gutter on roofing.</t>
  </si>
  <si>
    <t>0.41mm CGI sheet roofing.</t>
  </si>
  <si>
    <t>Colouring with 1 coats waterproof cement paint of approved colour to give uniform colouring after rendering the surface all complete.</t>
  </si>
  <si>
    <t>Colouring with 1 coats waterproof cement paint of approved colour.</t>
  </si>
  <si>
    <t>Colouring with 2 coats waterproof cement paint of approved colour to give uniform colouring after rendering the surface all complete.</t>
  </si>
  <si>
    <t>Colouring with 2 coats waterproof cement paint of approved colour.</t>
  </si>
  <si>
    <t>1 coats of ready made enamel paint of approved colour over 1 coats of primer Painting over porperly sanded wooden surface all complete</t>
  </si>
  <si>
    <t>1 coats of ready made enamel paint of approved colour over 1 coats of primer.</t>
  </si>
  <si>
    <t>2 coats of ready made enamel paint of approved colour over 1 coats of primer Painting over porperly sanded wooden surface all complete</t>
  </si>
  <si>
    <t>2 coats of ready made enamel paint of approved colour over 1 coats of primer.</t>
  </si>
  <si>
    <t>Commercial Plywood Panelled door shutter with  both sides Teak ply Lamination</t>
  </si>
  <si>
    <t>Making and fitting fixing Plywood Panel door shutter of 38 x 100 mm size sal wood frame with 8 mm thick water proofl ply on midle and 4mm thick teak ply on one side including all necessary hardware fitting all complete.</t>
  </si>
  <si>
    <t>Water proof Plywood Panelled door shutter with  one side Teak ply Lamination</t>
  </si>
  <si>
    <t>Supply and lamination of Sunmica on hardboard and other partition surface with glue</t>
  </si>
  <si>
    <t>Sunmica Lamination on hard board or partition</t>
  </si>
  <si>
    <t>Supply and lamination of Formica on hardboard and other partition surface with glue</t>
  </si>
  <si>
    <t xml:space="preserve">Supplying and laying of glazed or non glazed tiles in cement sand mortar (1:4) ratio with approved colour on wall and floor  all complete. </t>
  </si>
  <si>
    <t>Glazed or non glazed tiles in cement sand mortar (1:4) ratio with approved colour on wall and floor.</t>
  </si>
  <si>
    <t xml:space="preserve">Supplying and laying of glazed or non glazed tiles in cement sand mortar (1:4) ratio with Boarder approved colour on wall and floor  all complete. </t>
  </si>
  <si>
    <t>Glazed or non glazed tiles in cement sand mortar (1:4) ratio with Boarder approved colour on wall and floor.</t>
  </si>
  <si>
    <t>50-60mm thick flag stone paving work in (1:4) C/S mortar  including curing etc all complete.</t>
  </si>
  <si>
    <r>
      <t xml:space="preserve">           </t>
    </r>
    <r>
      <rPr>
        <sz val="12"/>
        <rFont val="Times New Roman"/>
        <family val="1"/>
      </rPr>
      <t>ii.</t>
    </r>
    <r>
      <rPr>
        <sz val="7"/>
        <rFont val="Times New Roman"/>
        <family val="1"/>
      </rPr>
      <t xml:space="preserve">      </t>
    </r>
    <r>
      <rPr>
        <sz val="12"/>
        <rFont val="Times New Roman"/>
        <family val="1"/>
      </rPr>
      <t xml:space="preserve">Glossy Finish </t>
    </r>
    <r>
      <rPr>
        <sz val="14"/>
        <rFont val="Times New Roman"/>
        <family val="1"/>
      </rPr>
      <t>(</t>
    </r>
    <r>
      <rPr>
        <sz val="14"/>
        <rFont val="Preeti"/>
      </rPr>
      <t>rlDsnf] agfpg]</t>
    </r>
    <r>
      <rPr>
        <sz val="14"/>
        <rFont val="Times New Roman"/>
        <family val="1"/>
      </rPr>
      <t>)</t>
    </r>
  </si>
  <si>
    <r>
      <t xml:space="preserve">Poly Carbonate Sheet  (6mm thick ) UV resistance. </t>
    </r>
    <r>
      <rPr>
        <sz val="14"/>
        <rFont val="Preeti"/>
      </rPr>
      <t>:sfO{nfO{6 k|of]u ug{sf] nflu</t>
    </r>
  </si>
  <si>
    <r>
      <t xml:space="preserve">Ready made Teak wood Doors (Seasoned and Poisoned treated )  </t>
    </r>
    <r>
      <rPr>
        <sz val="8"/>
        <rFont val="Times New Roman"/>
        <family val="1"/>
      </rPr>
      <t>( excluding the cost of fitting, transportation, Painting)</t>
    </r>
  </si>
  <si>
    <t>Supplying and installation of UPVC Bay Window frame 60x60 mm , Casement window sash 78x60 mm, sliding window sash 55x36 mm, corner connector 41x23 mm  white colour with galvanized steel reinforcement of 1.5 mm, 5 mm thick clear glass, insect net, patented</t>
  </si>
  <si>
    <t>Bay window centre sliding</t>
  </si>
  <si>
    <t>Bay window side sliding</t>
  </si>
  <si>
    <t>Bay window with top hung</t>
  </si>
  <si>
    <t>Bay window side casement window</t>
  </si>
  <si>
    <t xml:space="preserve">!)_ w'/L rfFË ;fgf] </t>
  </si>
  <si>
    <t xml:space="preserve"> !!_ lemu6L gofF *–#÷$Æ×$Æ</t>
  </si>
  <si>
    <t xml:space="preserve"> !@_ lemu+6L k"/fgf] </t>
  </si>
  <si>
    <t xml:space="preserve"> !#_ 9's' </t>
  </si>
  <si>
    <t xml:space="preserve">!^ – @) dL=dL= Jof;sf] kmnfd] 808L sf+6L em\ofnsf] rf}s;df </t>
  </si>
  <si>
    <t>Kjfn vf]kL h8fg ug]{ sfd .</t>
  </si>
  <si>
    <t>808L</t>
  </si>
  <si>
    <t xml:space="preserve">l;d]G6 </t>
  </si>
  <si>
    <t>jfn'jf</t>
  </si>
  <si>
    <t>!@ dL=dL /f]8f</t>
  </si>
  <si>
    <t>hu leQf kvf{ndf l;d]G6 s+lqm6 ug]{ sfd dfn;fdfg pknAw ug]{</t>
  </si>
  <si>
    <t xml:space="preserve">#) dL6/;Dd 9'jfgL ;lxt </t>
  </si>
  <si>
    <t>-lk=;L=;L= !M$M*_</t>
  </si>
  <si>
    <t>v;|f] afn'jf</t>
  </si>
  <si>
    <t>-lk=;L=;L= !M#M^_</t>
  </si>
  <si>
    <t>-lk=;L=;L= !M@M$_</t>
  </si>
  <si>
    <t>;'k/ :6«Sr/, 8]s :n]a ljdx?df l;d]G6 s+lqm6 ug]{ sfd</t>
  </si>
  <si>
    <t>dfn;fdfg pknAw ug]{ #) dL6/;Dd 9'jfgL ;d]t</t>
  </si>
  <si>
    <t>-lk=;L=;L= !M!M@_</t>
  </si>
  <si>
    <t>af]N8/ 9'Ëfsf] uf/f]df l;d]G6 afn'jf -!M@_ ˆn; ?N8 l6Ksf/ ug]{ sfd =======================================================================</t>
  </si>
  <si>
    <t>@ ;]=dL= df]6fO{sf] l;d]G6 afn'jf !M@ efudf jf6/ k|'km sDkfp08</t>
  </si>
  <si>
    <t>b/ ljZn]if0fsf] nflu !) j=dL= lnOPsf</t>
  </si>
  <si>
    <t>1 coats of ready made plastic emulsion paint of approved colour over 1 coats of primer Painting.</t>
  </si>
  <si>
    <t>2 coats of plastic emulsion paint paint of approved colour over 1 coats of primer Painting over porperly cleaned surface all complete</t>
  </si>
  <si>
    <t>2 coats of plastic emulsion paint paint of approved colour over 1 coats of primer Painting over porperly cleaned surface.</t>
  </si>
  <si>
    <t>Colouring with duracel paint of approved colour on brick wall face to give uniform colouring after rendering the surface all complete.</t>
  </si>
  <si>
    <t>1 coats of apex paint(weather coat) of approved colour without primer Painting over porperly cleaned surface all complete</t>
  </si>
  <si>
    <t>2 coats of apex paint(weather coat) of approved colour without primer Painting over porperly cleaned surface all complete</t>
  </si>
  <si>
    <t>Two coats of aluminium paint over one coat of primer in metal surface to give uniform colouring after rendering the surface all complete.</t>
  </si>
  <si>
    <t>Two coats of aluminium paint over one coat of primer in metal surface to give uniform colouring after rendering the surface.</t>
  </si>
  <si>
    <t>Two coats of red oxide painting in metal surfaces in properly sanded surface including sealing voids with putting all complete.</t>
  </si>
  <si>
    <t>Two coats of red oxide painting in metal surfaces in properly sanded surface.</t>
  </si>
  <si>
    <t>1 coats of double boiled linsid oil painting over porperly cleaned surface all complete</t>
  </si>
  <si>
    <t>2 coats of double boiled linsid oil painting over porperly cleaned surface all complete</t>
  </si>
  <si>
    <t>1 coats of commercial varnesh painting over porperly cleaned surface all complete</t>
  </si>
  <si>
    <t>2 coats of commercial varnesh painting over porperly cleaned surface all complete</t>
  </si>
  <si>
    <t>e'O{tNnfdf d]lzgåf/f agfOPsf] O{6fsf] uf/f]sf] l;d]G6 d;nf -!M#_ df</t>
  </si>
  <si>
    <t>-hfd'g_</t>
  </si>
  <si>
    <t>b/ k|lt /=dL=sf]</t>
  </si>
  <si>
    <t xml:space="preserve">!$_ sf]k' 7"nf] </t>
  </si>
  <si>
    <t>af]N8/ 9'Ëfsf] uf/f]df l;d]G6 afn'jf -!M#_ ?N8 l6Ksf/ ug]{ sfd =======================================================================</t>
  </si>
  <si>
    <t>!Æ afSnf] ?lkmË 6fon a'§f Knf:6/ ug]{ sfd =======================================================================</t>
  </si>
  <si>
    <r>
      <t>r_ @</t>
    </r>
    <r>
      <rPr>
        <vertAlign val="superscript"/>
        <sz val="14"/>
        <rFont val="Preeti"/>
      </rPr>
      <t>!</t>
    </r>
    <r>
      <rPr>
        <sz val="14"/>
        <rFont val="Preeti"/>
      </rPr>
      <t>÷</t>
    </r>
    <r>
      <rPr>
        <vertAlign val="subscript"/>
        <sz val="14"/>
        <rFont val="Preeti"/>
      </rPr>
      <t>@</t>
    </r>
    <r>
      <rPr>
        <sz val="14"/>
        <rFont val="Preeti"/>
      </rPr>
      <t>Æ – #Æ ;Dd afSnf] 9'Ëf d]l;gn] sf6]sf]</t>
    </r>
  </si>
  <si>
    <r>
      <t xml:space="preserve">3_ vfgL÷vf]nf÷gbLsf] afn'jf </t>
    </r>
    <r>
      <rPr>
        <sz val="10"/>
        <rFont val="Times New Roman"/>
        <family val="1"/>
      </rPr>
      <t xml:space="preserve">(free from all kind of impurities as per mentioned in specification) </t>
    </r>
  </si>
  <si>
    <r>
      <t xml:space="preserve">ª_ ejgsf] e"FO{+ sf]7fdf k'g{, ;f]lnËsf] </t>
    </r>
    <r>
      <rPr>
        <sz val="14"/>
        <rFont val="Times New Roman"/>
        <family val="1"/>
      </rPr>
      <t xml:space="preserve">Void filling </t>
    </r>
    <r>
      <rPr>
        <sz val="14"/>
        <rFont val="Preeti"/>
      </rPr>
      <t>ug{</t>
    </r>
    <r>
      <rPr>
        <sz val="14"/>
        <rFont val="Times New Roman"/>
        <family val="1"/>
      </rPr>
      <t xml:space="preserve"> </t>
    </r>
    <r>
      <rPr>
        <sz val="14"/>
        <rFont val="Preeti"/>
      </rPr>
      <t>k|of]u ul/g] afn'jf</t>
    </r>
  </si>
  <si>
    <r>
      <t>i)</t>
    </r>
    <r>
      <rPr>
        <sz val="14"/>
        <rFont val="Preeti"/>
      </rPr>
      <t xml:space="preserve"> *)÷!)) u|]8sf] lj6'dLg </t>
    </r>
  </si>
  <si>
    <r>
      <t>A)</t>
    </r>
    <r>
      <rPr>
        <sz val="7"/>
        <rFont val="Times New Roman"/>
        <family val="1"/>
      </rPr>
      <t xml:space="preserve">    </t>
    </r>
    <r>
      <rPr>
        <sz val="12"/>
        <rFont val="Times New Roman"/>
        <family val="1"/>
      </rPr>
      <t xml:space="preserve">Floor to wall (for pharmaceutical and hospitals floor) </t>
    </r>
  </si>
  <si>
    <r>
      <t>B)</t>
    </r>
    <r>
      <rPr>
        <sz val="7"/>
        <rFont val="Times New Roman"/>
        <family val="1"/>
      </rPr>
      <t xml:space="preserve">     </t>
    </r>
    <r>
      <rPr>
        <sz val="12"/>
        <rFont val="Times New Roman"/>
        <family val="1"/>
      </rPr>
      <t xml:space="preserve">Ceiling to wall (for pharmaceutical and hospitals floor) </t>
    </r>
  </si>
  <si>
    <t>150 Watt HPSV HPF Phillips/Wipro/GE  or equivalent</t>
  </si>
  <si>
    <t>250  Watt HPSV HPF Phillips/Wipro/GE  or equivalent</t>
  </si>
  <si>
    <t>8 to 11 watt CFL lamp</t>
  </si>
  <si>
    <t>13 to22 watt CFL lamp</t>
  </si>
  <si>
    <t>20/40  Watt 220 Volt FTL Ballast Philips or equivalent</t>
  </si>
  <si>
    <t>Rm.</t>
  </si>
  <si>
    <t>1 Gang  one way Switch F</t>
  </si>
  <si>
    <t>1 Gang  one way Switch S</t>
  </si>
  <si>
    <t>1 Gang 2  way Switch F</t>
  </si>
  <si>
    <t>1 Gang 2  way Switch S</t>
  </si>
  <si>
    <t>Providing and applying SBR Mortar on the RCC slab minor crack with making "V" shaped groove cutting and polymer coating of 1 ft wide area from groove all complete.</t>
  </si>
  <si>
    <t>/=lkm</t>
  </si>
  <si>
    <t xml:space="preserve"> Perma Clear seal coating</t>
  </si>
  <si>
    <t>Supplying and applying perma or Beck Brand Self leveling Epoxy coating on floor 2mm thick as per specification all complete. (for pharmaceutical and hospitals floor)</t>
  </si>
  <si>
    <t>d]l;gd]8 Sn] 6fon !M$ l;d]G6 afn'jfdf :nf]k ?km ;km]{;df 6f+:g] sfo{</t>
  </si>
  <si>
    <t>HofdLsf] #Ü n]</t>
  </si>
  <si>
    <t>Making and fitting MS grill including red oxide paint all complete</t>
  </si>
  <si>
    <t>k.g.</t>
  </si>
  <si>
    <t>6 Gang 6 one way Switch F</t>
  </si>
  <si>
    <t>5 Amp Pqwer Socket</t>
  </si>
  <si>
    <t>13-15 Amp Power Socket</t>
  </si>
  <si>
    <t>T.V Socket</t>
  </si>
  <si>
    <t>T.Phone Socket</t>
  </si>
  <si>
    <t>Bell Push</t>
  </si>
  <si>
    <t>-l;=af=-!M!_ df_</t>
  </si>
  <si>
    <t>/+lug ss{6 kftf</t>
  </si>
  <si>
    <t>30 u]h sn/ Kn]gl;^</t>
  </si>
  <si>
    <t>30 u]h Kn]gl;^</t>
  </si>
  <si>
    <t>Ps sf]6 l8:6]Dk/ /+u nufpg] sfd =======================================================================</t>
  </si>
  <si>
    <t>1.2 mm Plain fiber glass sheet roofing.</t>
  </si>
  <si>
    <t>;fx|f] k|sf/sf] Sn], g/d d'/d 9'+uf -#) ;]=dL=;Dd_ ld;]sf] df6f] ;a} lsl;dsf]</t>
  </si>
  <si>
    <t xml:space="preserve">sf7sf] lni6L </t>
  </si>
  <si>
    <t>rf}sf];df $ dL=dL= df]6fO{sf] P]gf sf7sf] lni6L nufO{ hf]8\g] .</t>
  </si>
  <si>
    <t>@% dL=dL= afSnf] cu|fvsf7sf] ˆn]s 5fKg] sfd ======================================================</t>
  </si>
  <si>
    <t>b'O{ sf]6 Ogfd]n k]G6 nufpg] sfd -k|fOd/ ;lxt_ ====================================================</t>
  </si>
  <si>
    <t>Ps sf]6 Knfli6s O{dNzg k]G6 nufpg] sfd -k|fOd/ ;lxt_ ====================================</t>
  </si>
  <si>
    <t>;fdu|L</t>
  </si>
  <si>
    <t>h:tfkftfsf] 5fgf eTsfO{ To;af6 lg:s]sf sf7 tyf kmnfd] lgdf{0f ;fdu|Lx?</t>
  </si>
  <si>
    <t xml:space="preserve"> k|of]u u/L @Ú–)Æ b]lv @Ú–^Æ rf}8fO{;Ddsf] kmnfd] 3'Dg] e¥ofË cfjZos ;fdu|Lx? ;lxt</t>
  </si>
  <si>
    <t>l6Ksf/ ug]{ .</t>
  </si>
  <si>
    <r>
      <t>$^ ;]=dL=</t>
    </r>
    <r>
      <rPr>
        <sz val="10"/>
        <rFont val="Arial"/>
        <family val="2"/>
      </rPr>
      <t>X</t>
    </r>
    <r>
      <rPr>
        <sz val="16"/>
        <rFont val="Preeti"/>
      </rPr>
      <t xml:space="preserve"> $^ ;]=dL= 9'+uf 5fk]sf]df l;d]G6 afn'jf !M! n] </t>
    </r>
  </si>
  <si>
    <t>6'qmf O{6f</t>
  </si>
  <si>
    <t>b/ ljZn]if0fsf] nflu ! J.=dL= lnOPsf]</t>
  </si>
  <si>
    <t>b/ ljZn]if0fsf] nflu !)) J.=dL= lnOPsf]</t>
  </si>
  <si>
    <t>b/ ljZn]if0fsf] nflu !)) j=dL= lnOPsf]</t>
  </si>
  <si>
    <t>b/ ljZn]if0fsf] nflu !)) j=dL=lnOPsf]</t>
  </si>
  <si>
    <t>b/ ljZn]if0fsf] nflu !) j=dL= lnOPsf]</t>
  </si>
  <si>
    <t>!) dL=dL=9'+uf /f]8f</t>
  </si>
  <si>
    <t>hL=cfO{=afFWg] tf/</t>
  </si>
  <si>
    <t>#* dL=dL= afSnf] lr/fg cu|fv sf7sf] k|m]d xfnL l8nfvfkf agfO{ h8fg ug]{ .</t>
  </si>
  <si>
    <r>
      <t>-vfkfsf] gfk !=)&amp; dL=</t>
    </r>
    <r>
      <rPr>
        <sz val="9"/>
        <rFont val="Arial"/>
        <family val="2"/>
      </rPr>
      <t>X</t>
    </r>
    <r>
      <rPr>
        <sz val="16"/>
        <rFont val="Preeti"/>
      </rPr>
      <t xml:space="preserve"> !=(*@ dL=</t>
    </r>
    <r>
      <rPr>
        <sz val="9"/>
        <rFont val="Arial"/>
        <family val="2"/>
      </rPr>
      <t>=</t>
    </r>
    <r>
      <rPr>
        <sz val="16"/>
        <rFont val="Preeti"/>
      </rPr>
      <t xml:space="preserve"> @=!!$ j= dL=_ </t>
    </r>
  </si>
  <si>
    <r>
      <t xml:space="preserve">#* </t>
    </r>
    <r>
      <rPr>
        <sz val="9"/>
        <rFont val="Arial"/>
        <family val="2"/>
      </rPr>
      <t xml:space="preserve">X </t>
    </r>
    <r>
      <rPr>
        <sz val="16"/>
        <rFont val="Preeti"/>
      </rPr>
      <t>&amp;% dL=dL=lr/fg ;fn sf7sf] k|m]d agfO{</t>
    </r>
  </si>
  <si>
    <t>@) dL=dL= 6]/fhf] 6fO{n</t>
  </si>
  <si>
    <t>cShflns P;L8</t>
  </si>
  <si>
    <r>
      <t xml:space="preserve">%) dL=dL= </t>
    </r>
    <r>
      <rPr>
        <sz val="10"/>
        <rFont val="Arial"/>
        <family val="2"/>
      </rPr>
      <t>X</t>
    </r>
    <r>
      <rPr>
        <sz val="16"/>
        <rFont val="Preeti"/>
      </rPr>
      <t xml:space="preserve"> &amp;% dL=dL= cu|fvsf] k|m]d ^)) dL=dL= </t>
    </r>
    <r>
      <rPr>
        <sz val="10"/>
        <rFont val="Arial"/>
        <family val="2"/>
      </rPr>
      <t>X</t>
    </r>
    <r>
      <rPr>
        <sz val="16"/>
        <rFont val="Preeti"/>
      </rPr>
      <t xml:space="preserve"> ^)) dL=dL= df xfnL</t>
    </r>
  </si>
  <si>
    <t>b/ ljZn]if0fsf] nflu !)) /=dL= lnOPsf]</t>
  </si>
  <si>
    <t>b/ ljZn]if0fsf] nflu ! Jf= dL= lnOPsf]</t>
  </si>
  <si>
    <t>KnfO{ af]8{</t>
  </si>
  <si>
    <t>sf7 nf]sn</t>
  </si>
  <si>
    <t>kmnfd] k|k</t>
  </si>
  <si>
    <t>dfn;fdfg pknAw u/L )=%) dL=dL= afSnf] ;L=hL=cfO{= zL6 -h:tf kftfsf]_ 5fgf 5fpg] sfd k'/f .</t>
  </si>
  <si>
    <r>
      <t>UPVC</t>
    </r>
    <r>
      <rPr>
        <b/>
        <sz val="14"/>
        <rFont val="Preeti"/>
      </rPr>
      <t xml:space="preserve"> </t>
    </r>
    <r>
      <rPr>
        <b/>
        <sz val="14"/>
        <rFont val="Times New Roman"/>
        <family val="1"/>
      </rPr>
      <t>Profile</t>
    </r>
    <r>
      <rPr>
        <b/>
        <sz val="14"/>
        <rFont val="Preeti"/>
      </rPr>
      <t xml:space="preserve"> </t>
    </r>
    <r>
      <rPr>
        <b/>
        <sz val="14"/>
        <rFont val="Times New Roman"/>
        <family val="1"/>
      </rPr>
      <t xml:space="preserve">Door and Window/ Wall partition </t>
    </r>
  </si>
  <si>
    <r>
      <t xml:space="preserve">Alternative Profile Company </t>
    </r>
    <r>
      <rPr>
        <b/>
        <sz val="12"/>
        <rFont val="Preeti"/>
      </rPr>
      <t xml:space="preserve">sf] </t>
    </r>
    <r>
      <rPr>
        <b/>
        <sz val="12"/>
        <rFont val="Times New Roman"/>
        <family val="1"/>
      </rPr>
      <t>UPVC</t>
    </r>
    <r>
      <rPr>
        <b/>
        <sz val="12"/>
        <rFont val="Preeti"/>
      </rPr>
      <t xml:space="preserve"> sf]] ‰ofn, 9f]sf tyf</t>
    </r>
    <r>
      <rPr>
        <b/>
        <sz val="12"/>
        <rFont val="Times New Roman"/>
        <family val="1"/>
      </rPr>
      <t xml:space="preserve"> wall partition</t>
    </r>
    <r>
      <rPr>
        <b/>
        <sz val="12"/>
        <rFont val="Preeti"/>
      </rPr>
      <t xml:space="preserve"> sf lgdf{0f ;fdfu|Lx? </t>
    </r>
    <r>
      <rPr>
        <b/>
        <sz val="12"/>
        <rFont val="Times New Roman"/>
        <family val="1"/>
      </rPr>
      <t>(Certified by ISO 9001-2000, ISO 14001:2004, ISO 527-2:1993, ISO 178:2001, iec 60695-2-11:2001, ASTM D4226-00, 91/338/EEC)</t>
    </r>
  </si>
  <si>
    <r>
      <t>50mm th. , (600×3000)mm</t>
    </r>
    <r>
      <rPr>
        <vertAlign val="superscript"/>
        <sz val="12"/>
        <rFont val="Times New Roman"/>
        <family val="1"/>
      </rPr>
      <t xml:space="preserve">2 </t>
    </r>
    <r>
      <rPr>
        <sz val="12"/>
        <rFont val="Times New Roman"/>
        <family val="1"/>
      </rPr>
      <t>(12×10 ft. )</t>
    </r>
  </si>
  <si>
    <r>
      <t>50mm th. , (600×2100)mm</t>
    </r>
    <r>
      <rPr>
        <vertAlign val="superscript"/>
        <sz val="12"/>
        <rFont val="Times New Roman"/>
        <family val="1"/>
      </rPr>
      <t>2</t>
    </r>
    <r>
      <rPr>
        <sz val="12"/>
        <rFont val="Times New Roman"/>
        <family val="1"/>
      </rPr>
      <t>(12×7 ft)</t>
    </r>
  </si>
  <si>
    <t>vii) Thermoplastic road paint</t>
  </si>
  <si>
    <t>Kg.</t>
  </si>
  <si>
    <t>viii) Glass bead</t>
  </si>
  <si>
    <t>ix) Geo-textile</t>
  </si>
  <si>
    <t>x) Traffic Jacket</t>
  </si>
  <si>
    <t>xi) Traffic cone</t>
  </si>
  <si>
    <t>xii) Planting Board</t>
  </si>
  <si>
    <t>xiii) Traffic reflective signage (Price without stand pipe)</t>
  </si>
  <si>
    <t>gf]6 M d]lzg k|of]u gu/L HofdL ;+Vof !#½ j9fpg] x'g] hDdf b/ ?= ==========÷========= k}= jf:tljs b//]6 ?= ===========÷===========k}=</t>
  </si>
  <si>
    <t>c:t/ jfx]s Ps sf]6 Pk]S; k]G6 -j]b/ sf]6_ ug]{ sfd ===========================================</t>
  </si>
  <si>
    <t>c:t/ jfx]s Ps sf]6 /]8 cS;fO8 k]G6 ug]{ sfd ==================================================</t>
  </si>
  <si>
    <r>
      <t>Poly propylene polymer compound waterprofing membrane</t>
    </r>
    <r>
      <rPr>
        <sz val="12"/>
        <rFont val="Times New Roman"/>
        <family val="1"/>
      </rPr>
      <t xml:space="preserve"> (</t>
    </r>
    <r>
      <rPr>
        <b/>
        <sz val="12"/>
        <rFont val="Times New Roman"/>
        <family val="1"/>
      </rPr>
      <t>PPPCWM</t>
    </r>
    <r>
      <rPr>
        <sz val="12"/>
        <rFont val="Times New Roman"/>
        <family val="1"/>
      </rPr>
      <t>)series 115,400 grades (400 grams/ Sqm..)for basement . Shear wall, tunnels, top roof, terrace gradening.</t>
    </r>
  </si>
  <si>
    <r>
      <t xml:space="preserve">BASF </t>
    </r>
    <r>
      <rPr>
        <sz val="12"/>
        <rFont val="Times New Roman"/>
        <family val="1"/>
      </rPr>
      <t>Waterproofing protection tretment with application of polyurethane floor epoxy coating system(Two coats) of Mastertop TC-467-C over the mosaic / Marble finishing floor topping.</t>
    </r>
  </si>
  <si>
    <r>
      <t xml:space="preserve">BASF (Inland coating) </t>
    </r>
    <r>
      <rPr>
        <sz val="12"/>
        <rFont val="Times New Roman"/>
        <family val="1"/>
      </rPr>
      <t>Waterproofing protection tretment with 100% Synthetic Rubber coating system of RC 2000/2200 thermally stable and resists cracking and peeling due to weather extremes and ultra violent exposer : for concrete / metallic roof surfaces a</t>
    </r>
  </si>
  <si>
    <r>
      <t>Epoxy bounding agent</t>
    </r>
    <r>
      <rPr>
        <sz val="12"/>
        <rFont val="Times New Roman"/>
        <family val="1"/>
      </rPr>
      <t>Concressive - 1414: Two component epoxy bonding agent old to new concrete</t>
    </r>
  </si>
  <si>
    <r>
      <t xml:space="preserve">D) </t>
    </r>
    <r>
      <rPr>
        <b/>
        <sz val="12"/>
        <rFont val="Times New Roman"/>
        <family val="1"/>
      </rPr>
      <t>Glnium - sky 584</t>
    </r>
    <r>
      <rPr>
        <sz val="12"/>
        <rFont val="Times New Roman"/>
        <family val="1"/>
      </rPr>
      <t xml:space="preserve">:New Generation , Polycarboxylic Eather (PCE) baced superplastisiser for High grade ready mix concrete using total A performance control </t>
    </r>
  </si>
  <si>
    <r>
      <t xml:space="preserve">E) </t>
    </r>
    <r>
      <rPr>
        <b/>
        <sz val="12"/>
        <rFont val="Times New Roman"/>
        <family val="1"/>
      </rPr>
      <t>Glnium - stream- 2</t>
    </r>
    <r>
      <rPr>
        <sz val="12"/>
        <rFont val="Times New Roman"/>
        <family val="1"/>
      </rPr>
      <t>: Viscosity modifying agent for producing self compacting , pumpable concrete</t>
    </r>
  </si>
  <si>
    <r>
      <t xml:space="preserve">kfgL r'x]sf] :yfgdf </t>
    </r>
    <r>
      <rPr>
        <b/>
        <sz val="12"/>
        <rFont val="Times New Roman"/>
        <family val="1"/>
      </rPr>
      <t>water proofing</t>
    </r>
    <r>
      <rPr>
        <b/>
        <sz val="14"/>
        <rFont val="Preeti"/>
      </rPr>
      <t xml:space="preserve"> ug{ </t>
    </r>
    <r>
      <rPr>
        <b/>
        <sz val="12"/>
        <rFont val="Times New Roman"/>
        <family val="1"/>
      </rPr>
      <t>OPAL</t>
    </r>
    <r>
      <rPr>
        <b/>
        <sz val="14"/>
        <rFont val="Preeti"/>
      </rPr>
      <t xml:space="preserve"> – af6 pTkflbt lgdf{0f ;fdfu|Lx?</t>
    </r>
  </si>
  <si>
    <t>k'/fgf] ;km]{;df XjfO{6jf; ug]{ sfd .</t>
  </si>
  <si>
    <t>l8:6]Dk/ nufpg] sfd Ps sf]6 .</t>
  </si>
  <si>
    <t>c:t/</t>
  </si>
  <si>
    <t>l8:6]Dk/ kfp8/</t>
  </si>
  <si>
    <t>l8:6]Dk/ nufpg] sfd b'O{ sf]6 .</t>
  </si>
  <si>
    <t>jf6/ k|'km l;d]G6 k]G6 Ps sf]6 nufpg] sfd .</t>
  </si>
  <si>
    <t>l;d]G6 k]G6</t>
  </si>
  <si>
    <t>jf6/ k|'km l;d]G6 k]G6 b'O{ sf]6 nufpg] sfd .</t>
  </si>
  <si>
    <t>tof/L Ogfd]n k]G6 Ps sf]6 nufpg] .</t>
  </si>
  <si>
    <t>jfn'jf vf]nfsf]</t>
  </si>
  <si>
    <t>Ogfd]n k]G6</t>
  </si>
  <si>
    <t>l;d]G6 jf jh| Knfi6/ eTsfO{ To;af6 cfPsf] w'nf] !) dL=k/ x6fpg] sfd .</t>
  </si>
  <si>
    <t>;+Vof</t>
  </si>
  <si>
    <t>e'O{tNnf eGbf dfly d]lzgåf/f agfOPsf] O{6f pknAw ug]{,</t>
  </si>
  <si>
    <t>% -@_ v</t>
  </si>
  <si>
    <t>% -@_ s</t>
  </si>
  <si>
    <t>v_ HofdL</t>
  </si>
  <si>
    <t>u_ HofdL</t>
  </si>
  <si>
    <t xml:space="preserve">O{6f </t>
  </si>
  <si>
    <t>l;d]G6</t>
  </si>
  <si>
    <t>leQf Pj+ l;lnËdf Kn]g XjfO{6 kl§ Knf:6/ ug]{ sfo{ .</t>
  </si>
  <si>
    <t>p) Mild Steel Props for Concreting 2" dia 3.5 mm thick 3.5 m- 4.0 m length</t>
  </si>
  <si>
    <t>q) Wrought Iron</t>
  </si>
  <si>
    <t>ljleGg lsl;dsf sf7x?</t>
  </si>
  <si>
    <t xml:space="preserve"> -s_ #… b]lv *Ú ;Ddsf] ;fnsf7 </t>
  </si>
  <si>
    <t xml:space="preserve">3= lkm </t>
  </si>
  <si>
    <t xml:space="preserve"> -v_ *… b]lv !$Ú ;Ddsf] ;fnsf7</t>
  </si>
  <si>
    <t xml:space="preserve"> -u_ !$ lkm6 b]lv dflysf] ;fn sf7  </t>
  </si>
  <si>
    <t xml:space="preserve"> -3_ ;fem sf7 tyf :yfgLo s'sf7 </t>
  </si>
  <si>
    <t xml:space="preserve"> -ª_ hfd'g sf7 </t>
  </si>
  <si>
    <t xml:space="preserve"> -r_ ;Nnfsf] sf7 </t>
  </si>
  <si>
    <t>a) Balcony sliding door</t>
  </si>
  <si>
    <t>b) Sliding door</t>
  </si>
  <si>
    <t>cf_ )=%% ld=ld df]6fO{sf</t>
  </si>
  <si>
    <t>O_ ) =^@ ld=ld df]6fO{sf</t>
  </si>
  <si>
    <t>O{_ )=&amp;% ld=ld df]6fO{sf</t>
  </si>
  <si>
    <t>p_ )=*) ld=ld df]6fO{sf</t>
  </si>
  <si>
    <t>pm_)=() ld=ld df]6fO{sf</t>
  </si>
  <si>
    <t>c_ )=%) ld=ld df]6fO{sf</t>
  </si>
  <si>
    <t>O_ )=^@ ld=ld df]6fO{sf</t>
  </si>
  <si>
    <r>
      <t xml:space="preserve">cfNd'lgodsf] </t>
    </r>
    <r>
      <rPr>
        <sz val="12"/>
        <rFont val="Arial"/>
        <family val="2"/>
      </rPr>
      <t xml:space="preserve">Fixed Partition </t>
    </r>
    <r>
      <rPr>
        <sz val="12"/>
        <rFont val="Preeti"/>
      </rPr>
      <t xml:space="preserve">-*@=!) </t>
    </r>
    <r>
      <rPr>
        <sz val="12"/>
        <rFont val="Arial"/>
        <family val="2"/>
      </rPr>
      <t>x</t>
    </r>
    <r>
      <rPr>
        <sz val="12"/>
        <rFont val="Preeti"/>
      </rPr>
      <t xml:space="preserve"> %)=^) </t>
    </r>
    <r>
      <rPr>
        <sz val="12"/>
        <rFont val="Arial"/>
        <family val="2"/>
      </rPr>
      <t>X</t>
    </r>
    <r>
      <rPr>
        <sz val="12"/>
        <rFont val="Preeti"/>
      </rPr>
      <t xml:space="preserve"> !=#) dL=dL=_ </t>
    </r>
  </si>
  <si>
    <r>
      <t xml:space="preserve">cfNd'lgodsf] </t>
    </r>
    <r>
      <rPr>
        <sz val="12"/>
        <rFont val="Arial"/>
        <family val="2"/>
      </rPr>
      <t xml:space="preserve">Fixed Curtain </t>
    </r>
    <r>
      <rPr>
        <sz val="12"/>
        <rFont val="Preeti"/>
      </rPr>
      <t xml:space="preserve">-*@=!) </t>
    </r>
    <r>
      <rPr>
        <sz val="12"/>
        <rFont val="Arial"/>
        <family val="2"/>
      </rPr>
      <t>x</t>
    </r>
    <r>
      <rPr>
        <sz val="12"/>
        <rFont val="Preeti"/>
      </rPr>
      <t xml:space="preserve"> %)=^) </t>
    </r>
    <r>
      <rPr>
        <sz val="12"/>
        <rFont val="Arial"/>
        <family val="2"/>
      </rPr>
      <t>X</t>
    </r>
    <r>
      <rPr>
        <sz val="12"/>
        <rFont val="Preeti"/>
      </rPr>
      <t xml:space="preserve"> !=#) dL=dL=_ </t>
    </r>
  </si>
  <si>
    <r>
      <t xml:space="preserve">cfNd'lgodsf] </t>
    </r>
    <r>
      <rPr>
        <sz val="12"/>
        <rFont val="Arial"/>
        <family val="2"/>
      </rPr>
      <t xml:space="preserve">Structure Glazing </t>
    </r>
    <r>
      <rPr>
        <sz val="12"/>
        <rFont val="Preeti"/>
      </rPr>
      <t xml:space="preserve">  -!!# </t>
    </r>
    <r>
      <rPr>
        <sz val="12"/>
        <rFont val="Arial"/>
        <family val="2"/>
      </rPr>
      <t>x</t>
    </r>
    <r>
      <rPr>
        <sz val="12"/>
        <rFont val="Preeti"/>
      </rPr>
      <t xml:space="preserve"> %) </t>
    </r>
    <r>
      <rPr>
        <sz val="12"/>
        <rFont val="Arial"/>
        <family val="2"/>
      </rPr>
      <t>X</t>
    </r>
    <r>
      <rPr>
        <sz val="12"/>
        <rFont val="Preeti"/>
      </rPr>
      <t xml:space="preserve"> @ dL=dL=_ </t>
    </r>
  </si>
  <si>
    <r>
      <t>M/F suspended ceiling with GYP. board for RCC ceiling.</t>
    </r>
    <r>
      <rPr>
        <sz val="12"/>
        <rFont val="Times New Roman"/>
        <family val="1"/>
      </rPr>
      <t xml:space="preserve"> </t>
    </r>
  </si>
  <si>
    <t>b/ ljZn]if0fsf] nflu !) s]=lh== lnOPsf]</t>
  </si>
  <si>
    <r>
      <t>kmnfd] u]6 jgfO{ hf]8\g] sfd k|fOd/</t>
    </r>
    <r>
      <rPr>
        <sz val="13"/>
        <rFont val="Preeti"/>
      </rPr>
      <t xml:space="preserve"> k]G6 ;lxt_</t>
    </r>
    <r>
      <rPr>
        <sz val="14"/>
        <rFont val="Preeti"/>
      </rPr>
      <t>===========================</t>
    </r>
  </si>
  <si>
    <r>
      <t xml:space="preserve">Providing and applying Dustban/Permise chemicals for </t>
    </r>
    <r>
      <rPr>
        <b/>
        <sz val="12"/>
        <rFont val="Times New Roman"/>
        <family val="1"/>
      </rPr>
      <t>Anti Termite Treatment</t>
    </r>
    <r>
      <rPr>
        <sz val="12"/>
        <rFont val="Times New Roman"/>
        <family val="1"/>
      </rPr>
      <t xml:space="preserve"> all complete.</t>
    </r>
  </si>
  <si>
    <r>
      <t xml:space="preserve">Providing and applying of </t>
    </r>
    <r>
      <rPr>
        <b/>
        <sz val="12"/>
        <rFont val="Times New Roman"/>
        <family val="1"/>
      </rPr>
      <t>Perma Wall Guard Coating</t>
    </r>
    <r>
      <rPr>
        <sz val="12"/>
        <rFont val="Times New Roman"/>
        <family val="1"/>
      </rPr>
      <t xml:space="preserve"> ( for colorful flexi exterior waterproof coating) all complete</t>
    </r>
  </si>
  <si>
    <r>
      <t xml:space="preserve">Providing and applying </t>
    </r>
    <r>
      <rPr>
        <b/>
        <sz val="12"/>
        <rFont val="Times New Roman"/>
        <family val="1"/>
      </rPr>
      <t xml:space="preserve">Water Proofing Membrane </t>
    </r>
    <r>
      <rPr>
        <sz val="12"/>
        <rFont val="Times New Roman"/>
        <family val="1"/>
      </rPr>
      <t xml:space="preserve">with mixing of bonding agent </t>
    </r>
    <r>
      <rPr>
        <b/>
        <sz val="12"/>
        <rFont val="Times New Roman"/>
        <family val="1"/>
      </rPr>
      <t xml:space="preserve">(Perma Bond SBR) </t>
    </r>
    <r>
      <rPr>
        <sz val="12"/>
        <rFont val="Times New Roman"/>
        <family val="1"/>
      </rPr>
      <t>fresh grey cement and fine sand paste for basement floor and wall , rooftop waterproofing as per specifications  all complete</t>
    </r>
  </si>
  <si>
    <r>
      <t>$</t>
    </r>
    <r>
      <rPr>
        <sz val="14"/>
        <rFont val="Times New Roman"/>
        <family val="1"/>
      </rPr>
      <t>×</t>
    </r>
    <r>
      <rPr>
        <sz val="14"/>
        <rFont val="Preeti"/>
      </rPr>
      <t>@</t>
    </r>
    <r>
      <rPr>
        <sz val="14"/>
        <rFont val="Times New Roman"/>
        <family val="1"/>
      </rPr>
      <t>×</t>
    </r>
    <r>
      <rPr>
        <sz val="14"/>
        <rFont val="Preeti"/>
      </rPr>
      <t>)=%)</t>
    </r>
    <r>
      <rPr>
        <sz val="11"/>
        <rFont val="Arial"/>
        <family val="2"/>
      </rPr>
      <t xml:space="preserve"> </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</si>
  <si>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</si>
  <si>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 xml:space="preserve">=%) </t>
    </r>
  </si>
  <si>
    <t>b/ ljZn]if0fsf] nflu ! 3=dL= lnOPsf]</t>
  </si>
  <si>
    <t>l;=g+=</t>
  </si>
  <si>
    <t>l;d]G^</t>
  </si>
  <si>
    <t>df^f]</t>
  </si>
  <si>
    <t>tfp</t>
  </si>
  <si>
    <t xml:space="preserve">!%Ü 7]s]bf/ cf]e/x]8 </t>
  </si>
  <si>
    <t>!%Ü 7]s]bf/ cf]e/x]8</t>
  </si>
  <si>
    <t>cnsqf k]G6 b'O{ sf]6 nufpg] sfd .</t>
  </si>
  <si>
    <t>rk|f kflnz tLg sf]6 nufpg] sfd .</t>
  </si>
  <si>
    <t>rk|f</t>
  </si>
  <si>
    <t>l:k/L6</t>
  </si>
  <si>
    <t>O{6fsf] uf/f]df l;d]G6 afn'jf -!M!_ df ˆn; l6Ksf/ ug]{ sfd .</t>
  </si>
  <si>
    <t>dfn;fdfg pknAw u/L ^) dL=dL= df]6f] x]eL 8o"6L OG6/nls+u s+lqm6Ans %) dL=dL=df]6fOsf] qm;/ 8:6 dfyL /fvL la5ofpg]] sfd k'/f .</t>
  </si>
  <si>
    <t>v_ HofdL @-$@-</t>
  </si>
  <si>
    <t>9'+ufsf] 3"nf]</t>
  </si>
  <si>
    <t>finishing of joints with compound &amp; tape all complete.</t>
  </si>
  <si>
    <t>lhK;d\ jf jf]/n Knfi6/ jf]8{sf] jfn kfglnË</t>
  </si>
  <si>
    <t>Providing fitting, fixing in position Armstrong Mineral board (fine fissured ANF)</t>
  </si>
  <si>
    <t>for suspended false ceiling with necessary frames &amp; hooks</t>
  </si>
  <si>
    <t xml:space="preserve"> all complete.</t>
  </si>
  <si>
    <t>cfd{:6«f]Ë ldlg/n kmfO{j/ af]8{sf</t>
  </si>
  <si>
    <t>k|To]s ;|f]t ;fwgsf] hDdf</t>
  </si>
  <si>
    <t>&gt;lds</t>
  </si>
  <si>
    <t>Hofld</t>
  </si>
  <si>
    <t>hjfg</t>
  </si>
  <si>
    <t>jf:tljs b//]6</t>
  </si>
  <si>
    <t>!%Ü 7]s]bf/sf] cf]e/x]8</t>
  </si>
  <si>
    <t>b/ k|lt j=dL=sf]</t>
  </si>
  <si>
    <t>hDdf b/ /]6</t>
  </si>
  <si>
    <t>!@=% dL=dL= l;d]G6 afn'jf -!M$_ Knfi6/ l;ln+udf =======================================================================</t>
  </si>
  <si>
    <t>!@=% dL=dL= l;d]G6 afn'jf -!M$_ Knfi6/ =======================================================================</t>
  </si>
  <si>
    <t>!@=% dL=dL= l;d]G6 afn'jf -!M^_ Knfi6/ =======================================================================</t>
  </si>
  <si>
    <t>Dry wall partition with metal stud</t>
  </si>
  <si>
    <t>kf]/l;nLg Un]H8 6fO{n -!M$_ l;d]G6 af=df =======================================================================</t>
  </si>
  <si>
    <t>O{6fsf] uf/f]df l;d]G6 afn'jf -!M@_ df ˆn; l6Ksf/ ug]{ sfd .</t>
  </si>
  <si>
    <r>
      <t>o) Supplying and fixing 25×25×3 mm thick set angle and 1</t>
    </r>
    <r>
      <rPr>
        <sz val="12"/>
        <rFont val="Arial"/>
        <family val="2"/>
      </rPr>
      <t>¾"</t>
    </r>
    <r>
      <rPr>
        <sz val="12"/>
        <rFont val="Times New Roman"/>
        <family val="1"/>
      </rPr>
      <t>×</t>
    </r>
    <r>
      <rPr>
        <sz val="12"/>
        <rFont val="Arial"/>
        <family val="2"/>
      </rPr>
      <t>2"</t>
    </r>
    <r>
      <rPr>
        <sz val="12"/>
        <rFont val="Times New Roman"/>
        <family val="1"/>
      </rPr>
      <t>×5 mm thick Mulium angle frame including glass shutter with necessary lock, handle, putting primer all complete</t>
    </r>
  </si>
  <si>
    <r>
      <t xml:space="preserve"> -s_ # dL =dL </t>
    </r>
    <r>
      <rPr>
        <sz val="12"/>
        <rFont val="Times New Roman"/>
        <family val="1"/>
      </rPr>
      <t/>
    </r>
  </si>
  <si>
    <r>
      <t xml:space="preserve"> -s_ ;gdfO{sf </t>
    </r>
    <r>
      <rPr>
        <sz val="14"/>
        <rFont val="Times New Roman"/>
        <family val="1"/>
      </rPr>
      <t>(4' x 8')</t>
    </r>
  </si>
  <si>
    <r>
      <t xml:space="preserve"> -u_ xf8{jf]8{  </t>
    </r>
    <r>
      <rPr>
        <sz val="12"/>
        <rFont val="Times New Roman"/>
        <family val="1"/>
      </rPr>
      <t>(Hard board) 12 mm thick</t>
    </r>
  </si>
  <si>
    <r>
      <t>Glass</t>
    </r>
    <r>
      <rPr>
        <b/>
        <sz val="14"/>
        <rFont val="Preeti"/>
      </rPr>
      <t xml:space="preserve"> ;L;f </t>
    </r>
  </si>
  <si>
    <r>
      <t xml:space="preserve">Plain </t>
    </r>
    <r>
      <rPr>
        <b/>
        <sz val="14"/>
        <rFont val="Preeti"/>
      </rPr>
      <t>;fbf -;]tf]_</t>
    </r>
  </si>
  <si>
    <r>
      <t>Printed Glass (</t>
    </r>
    <r>
      <rPr>
        <b/>
        <sz val="14"/>
        <rFont val="Preeti"/>
      </rPr>
      <t>a'§]bf/ l;;f</t>
    </r>
    <r>
      <rPr>
        <b/>
        <sz val="14"/>
        <rFont val="Times New Roman"/>
        <family val="1"/>
      </rPr>
      <t>)</t>
    </r>
    <r>
      <rPr>
        <b/>
        <sz val="14"/>
        <rFont val="Preeti"/>
      </rPr>
      <t xml:space="preserve"> </t>
    </r>
  </si>
  <si>
    <r>
      <t>Tinted Float glass</t>
    </r>
    <r>
      <rPr>
        <sz val="14"/>
        <rFont val="Preeti"/>
      </rPr>
      <t xml:space="preserve"> </t>
    </r>
    <r>
      <rPr>
        <b/>
        <sz val="14"/>
        <rFont val="Preeti"/>
      </rPr>
      <t>aflx/ af6 gb]lvg] leqaf6 b]lvg]</t>
    </r>
  </si>
  <si>
    <r>
      <t xml:space="preserve">5fgfdf k|of]u ul/g] a'§]bf/ P]gf </t>
    </r>
    <r>
      <rPr>
        <b/>
        <sz val="12"/>
        <rFont val="Times New Roman"/>
        <family val="1"/>
      </rPr>
      <t>Itching</t>
    </r>
    <r>
      <rPr>
        <b/>
        <sz val="14"/>
        <rFont val="Preeti"/>
      </rPr>
      <t xml:space="preserve"> </t>
    </r>
    <r>
      <rPr>
        <b/>
        <sz val="12"/>
        <rFont val="Times New Roman"/>
        <family val="1"/>
      </rPr>
      <t>Glass with simple shade and texture</t>
    </r>
  </si>
  <si>
    <r>
      <t xml:space="preserve">ljleGg /+usf] </t>
    </r>
    <r>
      <rPr>
        <b/>
        <sz val="14"/>
        <rFont val="Times New Roman"/>
        <family val="1"/>
      </rPr>
      <t>Reflector Glass</t>
    </r>
    <r>
      <rPr>
        <b/>
        <sz val="14"/>
        <rFont val="Preeti"/>
      </rPr>
      <t xml:space="preserve"> -lzzf_</t>
    </r>
  </si>
  <si>
    <r>
      <t xml:space="preserve"> </t>
    </r>
    <r>
      <rPr>
        <sz val="10"/>
        <rFont val="Times New Roman"/>
        <family val="1"/>
      </rPr>
      <t xml:space="preserve">Note: </t>
    </r>
    <r>
      <rPr>
        <sz val="10"/>
        <rFont val="Preeti"/>
      </rPr>
      <t xml:space="preserve">$ lkm6 </t>
    </r>
    <r>
      <rPr>
        <sz val="10"/>
        <rFont val="Times New Roman"/>
        <family val="1"/>
      </rPr>
      <t xml:space="preserve">* </t>
    </r>
    <r>
      <rPr>
        <sz val="10"/>
        <rFont val="Preeti"/>
      </rPr>
      <t>* lkm6 eGbf a9L ;fOhsf] l;;f ePdf %) Ü yk /sd nfUg] 5 .</t>
    </r>
  </si>
  <si>
    <r>
      <t xml:space="preserve"> -s_ )=* dL= dL= df]6f]    </t>
    </r>
    <r>
      <rPr>
        <sz val="14"/>
        <rFont val="Times New Roman"/>
        <family val="1"/>
      </rPr>
      <t>(P.F.G Sheet)</t>
    </r>
  </si>
  <si>
    <r>
      <t xml:space="preserve"> -ª_ </t>
    </r>
    <r>
      <rPr>
        <sz val="12"/>
        <rFont val="Times New Roman"/>
        <family val="1"/>
      </rPr>
      <t xml:space="preserve">Fiber Glass </t>
    </r>
    <r>
      <rPr>
        <sz val="12"/>
        <rFont val="Preeti"/>
      </rPr>
      <t xml:space="preserve">5fgfsf] nflu </t>
    </r>
    <r>
      <rPr>
        <sz val="12"/>
        <rFont val="Times New Roman"/>
        <family val="1"/>
      </rPr>
      <t>Alumunium strip (25 mm x 1.5 mm)</t>
    </r>
  </si>
  <si>
    <r>
      <t xml:space="preserve"> -r_ </t>
    </r>
    <r>
      <rPr>
        <sz val="12"/>
        <rFont val="Times New Roman"/>
        <family val="1"/>
      </rPr>
      <t xml:space="preserve">Fiber Glass </t>
    </r>
    <r>
      <rPr>
        <sz val="12"/>
        <rFont val="Preeti"/>
      </rPr>
      <t xml:space="preserve">5fgfsf] nflu </t>
    </r>
    <r>
      <rPr>
        <sz val="12"/>
        <rFont val="Times New Roman"/>
        <family val="1"/>
      </rPr>
      <t>Ribet nut</t>
    </r>
  </si>
  <si>
    <r>
      <t>em\ofn 9f]sfdf nfUg]</t>
    </r>
    <r>
      <rPr>
        <b/>
        <sz val="14"/>
        <rFont val="Times New Roman"/>
        <family val="1"/>
      </rPr>
      <t xml:space="preserve"> Fixture </t>
    </r>
    <r>
      <rPr>
        <b/>
        <sz val="14"/>
        <rFont val="Preeti"/>
      </rPr>
      <t>x?</t>
    </r>
  </si>
  <si>
    <r>
      <t>Iron</t>
    </r>
    <r>
      <rPr>
        <b/>
        <sz val="14"/>
        <rFont val="Preeti"/>
      </rPr>
      <t xml:space="preserve"> af6 ag]sf </t>
    </r>
  </si>
  <si>
    <r>
      <t>Hinge (</t>
    </r>
    <r>
      <rPr>
        <b/>
        <sz val="12"/>
        <rFont val="Preeti"/>
      </rPr>
      <t>sAhf</t>
    </r>
    <r>
      <rPr>
        <b/>
        <sz val="12"/>
        <rFont val="Times New Roman"/>
        <family val="1"/>
      </rPr>
      <t>)</t>
    </r>
  </si>
  <si>
    <r>
      <t>Aluminum</t>
    </r>
    <r>
      <rPr>
        <b/>
        <sz val="14"/>
        <rFont val="Preeti"/>
      </rPr>
      <t xml:space="preserve"> af6 ag]sf </t>
    </r>
  </si>
  <si>
    <r>
      <t xml:space="preserve">Towerbolt </t>
    </r>
    <r>
      <rPr>
        <b/>
        <sz val="12"/>
        <rFont val="Preeti"/>
      </rPr>
      <t>-5]:sLgL_</t>
    </r>
  </si>
  <si>
    <r>
      <t>Handle (</t>
    </r>
    <r>
      <rPr>
        <b/>
        <sz val="12"/>
        <rFont val="Preeti"/>
      </rPr>
      <t>xtsn</t>
    </r>
    <r>
      <rPr>
        <b/>
        <sz val="12"/>
        <rFont val="Times New Roman"/>
        <family val="1"/>
      </rPr>
      <t>)</t>
    </r>
  </si>
  <si>
    <r>
      <t>Brass</t>
    </r>
    <r>
      <rPr>
        <b/>
        <sz val="14"/>
        <rFont val="Preeti"/>
      </rPr>
      <t xml:space="preserve"> af6 ag]sf </t>
    </r>
  </si>
  <si>
    <r>
      <t xml:space="preserve">2"× </t>
    </r>
    <r>
      <rPr>
        <vertAlign val="superscript"/>
        <sz val="12"/>
        <rFont val="Times New Roman"/>
        <family val="1"/>
      </rPr>
      <t>1</t>
    </r>
    <r>
      <rPr>
        <sz val="12"/>
        <rFont val="Times New Roman"/>
        <family val="1"/>
      </rPr>
      <t>/</t>
    </r>
    <r>
      <rPr>
        <vertAlign val="subscript"/>
        <sz val="12"/>
        <rFont val="Times New Roman"/>
        <family val="1"/>
      </rPr>
      <t xml:space="preserve">2 </t>
    </r>
    <r>
      <rPr>
        <vertAlign val="superscript"/>
        <sz val="12"/>
        <rFont val="Times New Roman"/>
        <family val="1"/>
      </rPr>
      <t xml:space="preserve">" </t>
    </r>
  </si>
  <si>
    <r>
      <t>2</t>
    </r>
    <r>
      <rPr>
        <vertAlign val="superscript"/>
        <sz val="12"/>
        <rFont val="Times New Roman"/>
        <family val="1"/>
      </rPr>
      <t>1</t>
    </r>
    <r>
      <rPr>
        <sz val="12"/>
        <rFont val="Times New Roman"/>
        <family val="1"/>
      </rPr>
      <t>/</t>
    </r>
    <r>
      <rPr>
        <vertAlign val="subscript"/>
        <sz val="12"/>
        <rFont val="Times New Roman"/>
        <family val="1"/>
      </rPr>
      <t>2</t>
    </r>
    <r>
      <rPr>
        <sz val="12"/>
        <rFont val="Times New Roman"/>
        <family val="1"/>
      </rPr>
      <t>×</t>
    </r>
    <r>
      <rPr>
        <vertAlign val="superscript"/>
        <sz val="12"/>
        <rFont val="Times New Roman"/>
        <family val="1"/>
      </rPr>
      <t>3</t>
    </r>
    <r>
      <rPr>
        <sz val="12"/>
        <rFont val="Times New Roman"/>
        <family val="1"/>
      </rPr>
      <t>/</t>
    </r>
    <r>
      <rPr>
        <vertAlign val="subscript"/>
        <sz val="12"/>
        <rFont val="Times New Roman"/>
        <family val="1"/>
      </rPr>
      <t>4</t>
    </r>
    <r>
      <rPr>
        <vertAlign val="superscript"/>
        <sz val="12"/>
        <rFont val="Times New Roman"/>
        <family val="1"/>
      </rPr>
      <t>"</t>
    </r>
  </si>
  <si>
    <r>
      <t xml:space="preserve">3" × </t>
    </r>
    <r>
      <rPr>
        <vertAlign val="superscript"/>
        <sz val="12"/>
        <rFont val="Times New Roman"/>
        <family val="1"/>
      </rPr>
      <t>3</t>
    </r>
    <r>
      <rPr>
        <sz val="12"/>
        <rFont val="Times New Roman"/>
        <family val="1"/>
      </rPr>
      <t>/</t>
    </r>
    <r>
      <rPr>
        <vertAlign val="subscript"/>
        <sz val="12"/>
        <rFont val="Times New Roman"/>
        <family val="1"/>
      </rPr>
      <t xml:space="preserve">4 </t>
    </r>
    <r>
      <rPr>
        <vertAlign val="superscript"/>
        <sz val="12"/>
        <rFont val="Times New Roman"/>
        <family val="1"/>
      </rPr>
      <t>"</t>
    </r>
  </si>
  <si>
    <r>
      <t>2" ×</t>
    </r>
    <r>
      <rPr>
        <vertAlign val="superscript"/>
        <sz val="12"/>
        <rFont val="Times New Roman"/>
        <family val="1"/>
      </rPr>
      <t>3</t>
    </r>
    <r>
      <rPr>
        <sz val="12"/>
        <rFont val="Times New Roman"/>
        <family val="1"/>
      </rPr>
      <t>/</t>
    </r>
    <r>
      <rPr>
        <vertAlign val="subscript"/>
        <sz val="12"/>
        <rFont val="Times New Roman"/>
        <family val="1"/>
      </rPr>
      <t>4</t>
    </r>
    <r>
      <rPr>
        <vertAlign val="superscript"/>
        <sz val="12"/>
        <rFont val="Times New Roman"/>
        <family val="1"/>
      </rPr>
      <t>"</t>
    </r>
  </si>
  <si>
    <r>
      <t>2</t>
    </r>
    <r>
      <rPr>
        <vertAlign val="superscript"/>
        <sz val="12"/>
        <rFont val="Times New Roman"/>
        <family val="1"/>
      </rPr>
      <t>1</t>
    </r>
    <r>
      <rPr>
        <sz val="12"/>
        <rFont val="Times New Roman"/>
        <family val="1"/>
      </rPr>
      <t>/</t>
    </r>
    <r>
      <rPr>
        <vertAlign val="subscript"/>
        <sz val="12"/>
        <rFont val="Times New Roman"/>
        <family val="1"/>
      </rPr>
      <t>2</t>
    </r>
    <r>
      <rPr>
        <sz val="12"/>
        <rFont val="Times New Roman"/>
        <family val="1"/>
      </rPr>
      <t>"×</t>
    </r>
    <r>
      <rPr>
        <vertAlign val="superscript"/>
        <sz val="12"/>
        <rFont val="Times New Roman"/>
        <family val="1"/>
      </rPr>
      <t>3</t>
    </r>
    <r>
      <rPr>
        <sz val="12"/>
        <rFont val="Times New Roman"/>
        <family val="1"/>
      </rPr>
      <t>/</t>
    </r>
    <r>
      <rPr>
        <vertAlign val="subscript"/>
        <sz val="12"/>
        <rFont val="Times New Roman"/>
        <family val="1"/>
      </rPr>
      <t>4</t>
    </r>
    <r>
      <rPr>
        <vertAlign val="superscript"/>
        <sz val="12"/>
        <rFont val="Times New Roman"/>
        <family val="1"/>
      </rPr>
      <t>"</t>
    </r>
  </si>
  <si>
    <r>
      <t>3"×</t>
    </r>
    <r>
      <rPr>
        <vertAlign val="superscript"/>
        <sz val="12"/>
        <rFont val="Times New Roman"/>
        <family val="1"/>
      </rPr>
      <t>3</t>
    </r>
    <r>
      <rPr>
        <sz val="12"/>
        <rFont val="Times New Roman"/>
        <family val="1"/>
      </rPr>
      <t>/</t>
    </r>
    <r>
      <rPr>
        <vertAlign val="subscript"/>
        <sz val="12"/>
        <rFont val="Times New Roman"/>
        <family val="1"/>
      </rPr>
      <t>4</t>
    </r>
    <r>
      <rPr>
        <sz val="12"/>
        <rFont val="Times New Roman"/>
        <family val="1"/>
      </rPr>
      <t>"</t>
    </r>
  </si>
  <si>
    <r>
      <t xml:space="preserve">Sandpaper </t>
    </r>
    <r>
      <rPr>
        <sz val="12"/>
        <rFont val="Preeti"/>
      </rPr>
      <t>-vfU;L_</t>
    </r>
  </si>
  <si>
    <r>
      <t xml:space="preserve"> </t>
    </r>
    <r>
      <rPr>
        <sz val="14"/>
        <rFont val="Preeti"/>
      </rPr>
      <t xml:space="preserve">lj6'dLg jf;/ </t>
    </r>
  </si>
  <si>
    <r>
      <t xml:space="preserve"> </t>
    </r>
    <r>
      <rPr>
        <sz val="12"/>
        <rFont val="Times New Roman"/>
        <family val="1"/>
      </rPr>
      <t xml:space="preserve">Roofing  bitumen </t>
    </r>
    <r>
      <rPr>
        <sz val="14"/>
        <rFont val="Preeti"/>
      </rPr>
      <t>-?lkmË cnsqf_</t>
    </r>
  </si>
  <si>
    <r>
      <t xml:space="preserve"> </t>
    </r>
    <r>
      <rPr>
        <sz val="14"/>
        <rFont val="Preeti"/>
      </rPr>
      <t>%)) u]h Knfli6s l;6</t>
    </r>
  </si>
  <si>
    <r>
      <t xml:space="preserve"> </t>
    </r>
    <r>
      <rPr>
        <sz val="12"/>
        <rFont val="Times New Roman"/>
        <family val="1"/>
      </rPr>
      <t xml:space="preserve">ISI Mark Trafelt  </t>
    </r>
    <r>
      <rPr>
        <sz val="14"/>
        <rFont val="Preeti"/>
      </rPr>
      <t xml:space="preserve">-@)dL= </t>
    </r>
    <r>
      <rPr>
        <sz val="14"/>
        <rFont val="Times New Roman"/>
        <family val="1"/>
      </rPr>
      <t>×</t>
    </r>
    <r>
      <rPr>
        <sz val="14"/>
        <rFont val="Preeti"/>
      </rPr>
      <t xml:space="preserve"> !dL=_</t>
    </r>
  </si>
  <si>
    <r>
      <t xml:space="preserve"> </t>
    </r>
    <r>
      <rPr>
        <sz val="12"/>
        <rFont val="Times New Roman"/>
        <family val="1"/>
      </rPr>
      <t xml:space="preserve">Plasticfelt  </t>
    </r>
    <r>
      <rPr>
        <sz val="14"/>
        <rFont val="Preeti"/>
      </rPr>
      <t xml:space="preserve">-@)dL= </t>
    </r>
    <r>
      <rPr>
        <sz val="14"/>
        <rFont val="Times New Roman"/>
        <family val="1"/>
      </rPr>
      <t>×</t>
    </r>
    <r>
      <rPr>
        <sz val="14"/>
        <rFont val="Preeti"/>
      </rPr>
      <t xml:space="preserve"> !dL=_</t>
    </r>
  </si>
  <si>
    <t>c:t/ jfx]s Ps sf]6 /]8 cS;fO8 k]G6 ug]{ sfd .</t>
  </si>
  <si>
    <t xml:space="preserve"> iv) Access Controller without record using Card and Pin ( with 5 piece RFID Card.)</t>
  </si>
  <si>
    <t xml:space="preserve"> v) Finger print access system with software</t>
  </si>
  <si>
    <t>ii) Do but on basement</t>
  </si>
  <si>
    <t>iii) Providing material and applying pressure grouting on Rcc slab, basement and water tank 2 coats</t>
  </si>
  <si>
    <t>iii) Do but sealing Rcc slab crack</t>
  </si>
  <si>
    <t>iv) Do but Rcc column</t>
  </si>
  <si>
    <t>Point</t>
  </si>
  <si>
    <t>Eradication of peepal &amp; other plants</t>
  </si>
  <si>
    <t>Miscellaneous Item</t>
  </si>
  <si>
    <t>Water proof of terrace &amp; roof garden</t>
  </si>
  <si>
    <t xml:space="preserve">Supplying and laying of 2 pack polymer modified cementious water proofing coatings (Acrocote) all complete. </t>
  </si>
  <si>
    <t>j=ld</t>
  </si>
  <si>
    <t>Pabbles cladding work</t>
  </si>
  <si>
    <t>Particle Board Partition wall</t>
  </si>
  <si>
    <t>Double skin partition in wood frame of 3"×3" and 2"×2" with 4mm. thick Medium density particle board (one side laminate) both side cladding.</t>
  </si>
  <si>
    <t>Single skin partition in wood frame of 3"×3" and 3"×4" with 9mm (both side laminated) particle board fixed in middle all complete.</t>
  </si>
  <si>
    <t>Carbon Fibre UPVC Roofing Sheet</t>
  </si>
  <si>
    <t>Carbon Fibre UPVC Roofing Sheet including the cost of material and labour  fitting, fixing, all complete job</t>
  </si>
  <si>
    <t>3mm</t>
  </si>
  <si>
    <t>2mm</t>
  </si>
  <si>
    <t>Ready made Door</t>
  </si>
  <si>
    <t xml:space="preserve">38 mm th. solid flush door (Both side teak ) </t>
  </si>
  <si>
    <t xml:space="preserve">38 mm th. solid flush door (One side teak) </t>
  </si>
  <si>
    <t>Readymade door shutter Recon, ordinary (1 side teak)</t>
  </si>
  <si>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</si>
  <si>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</si>
  <si>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</si>
  <si>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t>@) dL=dL= 6]/fhf] 6fO{n @) dL=dL= afSnf] !M$ efudf l;d]G6 afn'jf</t>
  </si>
  <si>
    <t>3f]6\g] HofdL</t>
  </si>
  <si>
    <t>!!–^</t>
  </si>
  <si>
    <t>!M@ efusf] l;d]G6 d;nfdf 5fkL 3f]6\g] / kflnz ;d]t ug]{ .</t>
  </si>
  <si>
    <t>cShflns Pl;8</t>
  </si>
  <si>
    <t>!!–&amp;</t>
  </si>
  <si>
    <t>kf]/l;lng Un]H8 6fO{n !M$ l;d]G6 afn'jfdf 5fKg] sfd .</t>
  </si>
  <si>
    <t>!!–* s</t>
  </si>
  <si>
    <t>d;nfdf nufpg] .</t>
  </si>
  <si>
    <t>%) dL=dL= 9'+uf</t>
  </si>
  <si>
    <t>!!–* v</t>
  </si>
  <si>
    <t>!!–(</t>
  </si>
  <si>
    <t>#&amp;=% dL=dL= 9'+uf</t>
  </si>
  <si>
    <t>!!–!!</t>
  </si>
  <si>
    <t>alkm{ hfnL</t>
  </si>
  <si>
    <t>g/d k|sf/sf] Sn] / l;N6L df6f]df ;j} lsl;dsf] vGg] sfd !) dL6/</t>
  </si>
  <si>
    <t>;Dd jf]sgL l8:kf]hn / !=% dL6/;Dd lnˆ6 ;d]t</t>
  </si>
  <si>
    <r>
      <t>#Æ</t>
    </r>
    <r>
      <rPr>
        <sz val="9"/>
        <rFont val="Arial"/>
        <family val="2"/>
      </rPr>
      <t>x</t>
    </r>
    <r>
      <rPr>
        <sz val="14"/>
        <rFont val="Preeti"/>
      </rPr>
      <t>$Æ ;fOhsf] lz;f} sf7sf] x\of8/]n agfO{ lkm6 ug]{ ==========================================</t>
    </r>
  </si>
  <si>
    <t>lh=cfO{=sf9]tf/ -jf/ j]8 jfo/_ nufpg] .</t>
  </si>
  <si>
    <t>lh=cfO{=sfF9]tf/</t>
  </si>
  <si>
    <t>-jf/j]8 jfo/_</t>
  </si>
  <si>
    <t>Supplying, making, fixing suspended ceiling (for R.C.C.) design ceiling.</t>
  </si>
  <si>
    <t>! v</t>
  </si>
  <si>
    <t>lhk af]8{ l8hfOg kmN;\l;lnËsf</t>
  </si>
  <si>
    <t>Supplying, making, fixing ceiling with MPL board (for CGI roofing ceiling) plain ceiling.</t>
  </si>
  <si>
    <t>! Uf</t>
  </si>
  <si>
    <t>Fixing or laying 110mm dia cast iron (CI) pipe with necessary hardware  all complete.</t>
  </si>
  <si>
    <t>Fixing or laying 110mm dia cast iron (CI) pipe.</t>
  </si>
  <si>
    <t>Fixing or laying 75mm dia cast iron (CI) pipe with necessary hardware  all complete.</t>
  </si>
  <si>
    <t>Fixing or laying 75mm dia cast iron (CI) pipe.</t>
  </si>
  <si>
    <t>Fixing or laying 50mm dia cast iron (CI) pipe with necessary hardware  all complete.</t>
  </si>
  <si>
    <t>Fixing or laying 50mm dia cast iron (CI) pipe.</t>
  </si>
  <si>
    <t>15mm dia galvanized Iron (GI) pipe medium class includes fixing/laying with necessary hardware  all complete.</t>
  </si>
  <si>
    <t>Fixing/laying 15mm dia  (GI) pipe medium class.</t>
  </si>
  <si>
    <t>75mm lead caulked joint @ 3 lbs per joint.</t>
  </si>
  <si>
    <t>50 lit electric water heater (Geyser) all complete.</t>
  </si>
  <si>
    <t>20mm dia galvanized Iron (GI) pipe medium class includes fixing/laying with necessary hardware  all complete.</t>
  </si>
  <si>
    <t>Fixing/laying 20mm dia  (GI) pipe medium class.</t>
  </si>
  <si>
    <t>25mm dia galvanized Iron (GI) pipe medium class includes fixing/laying with necessary hardware  all complete.</t>
  </si>
  <si>
    <t>Fixing/laying 25mm dia  (GI) pipe medium class.</t>
  </si>
  <si>
    <t>32mm dia galvanized Iron (GI) pipe medium class includes fixing/laying with necessary hardware  all complete.</t>
  </si>
  <si>
    <t>^ dL=dL=jf6/k|'km Knfp8</t>
  </si>
  <si>
    <r>
      <t>a)</t>
    </r>
    <r>
      <rPr>
        <sz val="7"/>
        <rFont val="Times New Roman"/>
        <family val="1"/>
      </rPr>
      <t xml:space="preserve">          </t>
    </r>
    <r>
      <rPr>
        <sz val="12"/>
        <rFont val="Times New Roman"/>
        <family val="1"/>
      </rPr>
      <t>Stem up to 1" thickness</t>
    </r>
  </si>
  <si>
    <r>
      <t>b)</t>
    </r>
    <r>
      <rPr>
        <sz val="7"/>
        <rFont val="Times New Roman"/>
        <family val="1"/>
      </rPr>
      <t xml:space="preserve">          </t>
    </r>
    <r>
      <rPr>
        <sz val="12"/>
        <rFont val="Times New Roman"/>
        <family val="1"/>
      </rPr>
      <t>Stem up to 1"–2" thickness</t>
    </r>
  </si>
  <si>
    <r>
      <t>c)</t>
    </r>
    <r>
      <rPr>
        <sz val="7"/>
        <rFont val="Times New Roman"/>
        <family val="1"/>
      </rPr>
      <t xml:space="preserve">          </t>
    </r>
    <r>
      <rPr>
        <sz val="12"/>
        <rFont val="Times New Roman"/>
        <family val="1"/>
      </rPr>
      <t>Stem up to 2"–3" thickness</t>
    </r>
  </si>
  <si>
    <r>
      <t>d)</t>
    </r>
    <r>
      <rPr>
        <sz val="7"/>
        <rFont val="Times New Roman"/>
        <family val="1"/>
      </rPr>
      <t xml:space="preserve">          </t>
    </r>
    <r>
      <rPr>
        <sz val="12"/>
        <rFont val="Times New Roman"/>
        <family val="1"/>
      </rPr>
      <t>Stem up to 3"–4" thickness</t>
    </r>
  </si>
  <si>
    <r>
      <t>lzzf} sf7sf] #Æ</t>
    </r>
    <r>
      <rPr>
        <sz val="10"/>
        <rFont val="Arial"/>
        <family val="2"/>
      </rPr>
      <t>x</t>
    </r>
    <r>
      <rPr>
        <sz val="16"/>
        <rFont val="Preeti"/>
      </rPr>
      <t>$Æ ;fO{hsf] x\of08/]n agfO{ lkml6Ë ug]{ sfd .</t>
    </r>
  </si>
  <si>
    <r>
      <t xml:space="preserve">x\of08/]n </t>
    </r>
    <r>
      <rPr>
        <sz val="13"/>
        <rFont val="Preeti"/>
      </rPr>
      <t>#Æ</t>
    </r>
    <r>
      <rPr>
        <sz val="9"/>
        <rFont val="Arial"/>
        <family val="2"/>
      </rPr>
      <t>x</t>
    </r>
    <r>
      <rPr>
        <sz val="13"/>
        <rFont val="Preeti"/>
      </rPr>
      <t>$Æ+</t>
    </r>
  </si>
  <si>
    <t>lsnf, ud -df]ljns_</t>
  </si>
  <si>
    <t xml:space="preserve">!( dL=dL= jf]8{ </t>
  </si>
  <si>
    <t>lsnf sfF6L</t>
  </si>
  <si>
    <t>ixAluminium partition with 5 mm thick glass and 9 mm thick laminated board of section (64 x38x1.1)</t>
  </si>
  <si>
    <t>tof/L Ogfd]n k]G6 b'O{ sf]6 nufpg] .</t>
  </si>
  <si>
    <t>tof/L Knfli6s Odn\;g k]G6 Ps sf]6 nufpg] .</t>
  </si>
  <si>
    <r>
      <t xml:space="preserve">gf]6 M 6fonsf] ;fOh @@=&amp;% </t>
    </r>
    <r>
      <rPr>
        <sz val="10"/>
        <rFont val="Arial"/>
        <family val="2"/>
      </rPr>
      <t>x</t>
    </r>
    <r>
      <rPr>
        <sz val="10"/>
        <rFont val="Preeti"/>
      </rPr>
      <t xml:space="preserve"> &amp;=) ;]=dL= </t>
    </r>
    <r>
      <rPr>
        <sz val="9"/>
        <rFont val="Arial"/>
        <family val="2"/>
      </rPr>
      <t>=</t>
    </r>
    <r>
      <rPr>
        <sz val="10"/>
        <rFont val="Preeti"/>
      </rPr>
      <t xml:space="preserve"> )=)!%( j=dL=</t>
    </r>
  </si>
  <si>
    <t>*f]/ :k|Lªu ;fwf/)F</t>
  </si>
  <si>
    <t>tof/L Ogfd]n k]G^</t>
  </si>
  <si>
    <t>!^dL=dL=u|]gfO{6</t>
  </si>
  <si>
    <t xml:space="preserve">!^ dL=dL=u|]gfO{6, @) dL=dL= afSnf] </t>
  </si>
  <si>
    <t xml:space="preserve">XjfO{6 kl§ Knf:6/ </t>
  </si>
  <si>
    <t>tof/L kfs]{6</t>
  </si>
  <si>
    <t>:sl6ª ug]{ sfd .</t>
  </si>
  <si>
    <t>1.2 mm plain fiber glass sheet roofing including almunium strip at the joints and fixing in proper shape &amp; size with all necessary rails, screws, bolts &amp; nuts washers, J &amp; L hocks etc as per drawing &amp; instruction all complete.</t>
  </si>
  <si>
    <t>Carbon Fibre UPVC Roofing Sheet including the cost of material and labour  fitting, fixing, all complete job (2mm Thick) ……………..</t>
  </si>
  <si>
    <r>
      <t xml:space="preserve">#* </t>
    </r>
    <r>
      <rPr>
        <sz val="9"/>
        <rFont val="Arial"/>
        <family val="2"/>
      </rPr>
      <t xml:space="preserve">X </t>
    </r>
    <r>
      <rPr>
        <sz val="16"/>
        <rFont val="Preeti"/>
      </rPr>
      <t>&amp;% dL=dL= ;fn sf7sf] k|m]d agfO{</t>
    </r>
  </si>
  <si>
    <t>;fn sf7</t>
  </si>
  <si>
    <t>&amp;% dL=dL= sAhf</t>
  </si>
  <si>
    <t>!)) dL=dL= 5]:sLgL</t>
  </si>
  <si>
    <t>Kn]g /+lug kftf 0=75 ld=ld</t>
  </si>
  <si>
    <t>Supplying, making, fixing suspended ceilling (for R.C.C.) plain ceiling.</t>
  </si>
  <si>
    <t>! s</t>
  </si>
  <si>
    <t>e'O{+tNnfdf O{+6fsf] uf/f] nufpg] sfd l;d]G6 d;nf -!M^_ df=================================</t>
  </si>
  <si>
    <t>Do but with ventilator from section (88×38×1.30) mm and 5 mm glass.</t>
  </si>
  <si>
    <t xml:space="preserve">Aluminum sliding windows without ventilator from section (101×45×1.50) mm and 5 mm glass. </t>
  </si>
  <si>
    <t xml:space="preserve">Do but with ventilator from section (101×45×1.50)mm and 5 mm glass. </t>
  </si>
  <si>
    <t xml:space="preserve">Siding door with naturally anodized color section of (101×45×1.50)mm  (40×45×1.5)mm &amp; 5 mm glass. </t>
  </si>
  <si>
    <t>Plain cement Concrete (PCC) in 1:2:4 ratio  for foundations, flooring and walls with approved quality of cement and sand and crushed stone aggregate including mixing, laying, curing etc all complete in approval of site engineer.</t>
  </si>
  <si>
    <t>Plain cement Concrete (PCC) in 1:2:4 ratio  for foundations, flooring and walls .</t>
  </si>
  <si>
    <t>Plain cement Concrete (PCC) for RCC works (1:2:4) for slab/lintels with approved quality of cement and sand and crushed stone aggregate including mixing, laying, curing etc all complete in approval of site engineer.</t>
  </si>
  <si>
    <t>Plain cement Concrete (PCC) for RCC works (1:2:4) for slab/lintels</t>
  </si>
  <si>
    <t>Plain cement Concrete (PCC) for RCC works (1:1.5:3) for slab/lintels with approved quality of cement and sand and crushed stone aggregate including mixing, laying, curing etc all complete in approval of site engineer.</t>
  </si>
  <si>
    <t>Plain cement Concrete (PCC) for RCC works (1:1.5:3) for slab/lintels</t>
  </si>
  <si>
    <t xml:space="preserve">@% dL=dL= afSnf] df]hfos ˆnf]l/Ë @) dL=dL= -!M@M$_ l;d]G6 s+qmL6 u/L </t>
  </si>
  <si>
    <t xml:space="preserve">To; dfly % dL=dL= afSnf] !M! efudf ;]tf] l;d]G6 / </t>
  </si>
  <si>
    <t>dfj{n lrK; nufO{ 3f]6\g] / kflnz ;d]t ug]{ sfd .</t>
  </si>
  <si>
    <t>!@=% dL=dL= /f]8f</t>
  </si>
  <si>
    <t xml:space="preserve"> 15mm dia. Auto Closing  Bibcock with aerator</t>
  </si>
  <si>
    <t xml:space="preserve"> 15mm dia. Urinal  Auto Closing Valve with built in Control Cock</t>
  </si>
  <si>
    <t>C.P. 15mm dia  Angle valve European Pattern</t>
  </si>
  <si>
    <t>C.P. 15mm dia  Angle valve  Ordinary type</t>
  </si>
  <si>
    <t xml:space="preserve">15mm dia two way angle valve  </t>
  </si>
  <si>
    <t xml:space="preserve"> 0.5HP Electric motor Pump monoblock     ( crompton)</t>
  </si>
  <si>
    <t>0.5HP Electric motor Pump monoblock     ( crompton)</t>
  </si>
  <si>
    <t xml:space="preserve"> 1HP Electric motor Pump  monoblock   ( crompton)</t>
  </si>
  <si>
    <t>1HP Electric motor Pump  monoblock   ( crompton)</t>
  </si>
  <si>
    <t xml:space="preserve"> 1HP Electric motor Pump Multi Stage coupled  ( crompton)</t>
  </si>
  <si>
    <t xml:space="preserve"> 2HP Electric motor Pump multi stage coupled ( crompton)</t>
  </si>
  <si>
    <t>Flat dry brick soling on flat in foundation and floor including sand filling in joints.</t>
  </si>
  <si>
    <t>Pointing in flat stone paving</t>
  </si>
  <si>
    <t>Sand filling in flooring including supply of filling materials, watering, ramming etc. all complete</t>
  </si>
  <si>
    <t xml:space="preserve">Sand filling in flooring including watering, ramming etc. </t>
  </si>
  <si>
    <t>Brick bat filling work</t>
  </si>
  <si>
    <t>Porecelene clay toilet paper holder Recessed type with necessary accessories.</t>
  </si>
  <si>
    <t>Chrome plated toilet paper holder with necessary accessories.</t>
  </si>
  <si>
    <t>Colouring with three coat white washing in new ceiling surface.</t>
  </si>
  <si>
    <t xml:space="preserve">Colouring with three coat white washing in new wall surface to give uniform colouring after rendering the surface all complete. </t>
  </si>
  <si>
    <t>Colouring with three coat white washing in new wall surface.</t>
  </si>
  <si>
    <r>
      <t xml:space="preserve"> @Ú–^Æ b]lv #Ú–)Æ ;Dd prfO{ ePsf] ^Æ</t>
    </r>
    <r>
      <rPr>
        <sz val="14"/>
        <rFont val="Arial"/>
        <family val="2"/>
      </rPr>
      <t xml:space="preserve">x </t>
    </r>
    <r>
      <rPr>
        <sz val="14"/>
        <rFont val="Preeti"/>
      </rPr>
      <t>^Æ ;fO{hsf] ;fn jf lzzf} sf7sf] snfTds kf]i6 tyf #Æ</t>
    </r>
    <r>
      <rPr>
        <sz val="14"/>
        <rFont val="Arial"/>
        <family val="2"/>
      </rPr>
      <t>x</t>
    </r>
    <r>
      <rPr>
        <sz val="14"/>
        <rFont val="Preeti"/>
      </rPr>
      <t xml:space="preserve"> #Æ;fO{hsf] snfTds an':6/ /fvL #Æ</t>
    </r>
    <r>
      <rPr>
        <sz val="14"/>
        <rFont val="Arial"/>
        <family val="2"/>
      </rPr>
      <t>x</t>
    </r>
    <r>
      <rPr>
        <sz val="14"/>
        <rFont val="Preeti"/>
      </rPr>
      <t>$Æ ;fO{hsf] ;fn jf lzzf}sf] x\of08/]n agfO{ h8fg ug]{ sfd . ======</t>
    </r>
  </si>
  <si>
    <t xml:space="preserve">Rubble masonry in 1:6 C/S mortar in perfect line level finish including, racking the joints and curing the work for at least 7 days all complete. </t>
  </si>
  <si>
    <t>Rubble masonry in 1:6 C/S mortar.</t>
  </si>
  <si>
    <t xml:space="preserve">Dry rubble masonry work in perfect line level finish all complete. </t>
  </si>
  <si>
    <t>Dry rubble masonry work.</t>
  </si>
  <si>
    <t xml:space="preserve">Rubble masonry in mud mortar in perfect line level finish including, racking the joints  all complete. </t>
  </si>
  <si>
    <t>Rubble masonry in mud mortar.</t>
  </si>
  <si>
    <t>12.5mm thick lime surki plaster in (1:2) ratio on wall and ceiling of good finish including racking the joint, wetting of surfaces &amp; curing the work all complete.</t>
  </si>
  <si>
    <t>Hand pump with nut and bolt with flange</t>
  </si>
  <si>
    <t>Construction of 100 user septic tank  all complete work as per drawing and specification.</t>
  </si>
  <si>
    <t>Construction of 1.2  m dia (Rcc ring) soak pit  all complete work as per drawing and specification.</t>
  </si>
  <si>
    <t>6 lit electric water heater (Geyser)  and instruction all complete.</t>
  </si>
  <si>
    <t xml:space="preserve"> white glazed wash basin 55X40mm with brackets 32mm bottle trap, 15mm basin mixer with pedestal and   all complete.</t>
  </si>
  <si>
    <t xml:space="preserve"> Kitchen sink stainless steel 90 cm long with mixer and instruction all complete.</t>
  </si>
  <si>
    <t>Under counter wash basin  with trap, flexiable pipe and (hot&amp;cold) mixer all complete set</t>
  </si>
  <si>
    <t>Construction of 12 cu.m Under ground rcc water tank  all complete work as per drawing and specification.</t>
  </si>
  <si>
    <t xml:space="preserve"> Fixing Sal wood frame size 50x75 mm  with 6 mm thick water proof ply in Falce ceiling work</t>
  </si>
  <si>
    <t>sq. m</t>
  </si>
  <si>
    <t>Labour cost of fixing 2000 lit.Pvc water tank and site clearance as per instruction</t>
  </si>
  <si>
    <t>Labour cost of Removing door and re fixing after complete floor tile</t>
  </si>
  <si>
    <t xml:space="preserve"> Porcelain clay white glaze indian pattern Comode(Hindustan, Parryware, Classica or eq.) with FLUSH valve and seat cover</t>
  </si>
  <si>
    <t>set</t>
  </si>
  <si>
    <t xml:space="preserve"> Kitchen sink stainless steel 150 cm long . Except sink cock</t>
  </si>
  <si>
    <t>Construction of 50  user septic tank  all complete work as per drawing and specification.</t>
  </si>
  <si>
    <t>Construction of 200 user septic tank  all complete work as per drawing and specification.</t>
  </si>
  <si>
    <t>Construction of 2.0 m dia soak pit  all complete work as per drawing and specification.</t>
  </si>
  <si>
    <t>Construction of Pump house  all complete work as per drawing and specification.</t>
  </si>
  <si>
    <t xml:space="preserve">  White glaze Wash basin pedeatal</t>
  </si>
  <si>
    <t>Wash basin pedeatal</t>
  </si>
  <si>
    <t>40mm ball cock(Float valve)</t>
  </si>
  <si>
    <t>15 mm CP water spray all complete.</t>
  </si>
  <si>
    <t>15 mm CP water spray.</t>
  </si>
  <si>
    <t>Hand drayer Chinese</t>
  </si>
  <si>
    <t>4 kg/cm2 (50 mm) HDP pipe  all complete.</t>
  </si>
  <si>
    <t>4 kg/cm2 (50 mm) HDP pipe .</t>
  </si>
  <si>
    <t>4 kg/cm2 (110 mm) HDP pipe  all complete.</t>
  </si>
  <si>
    <t>4 kg/cm2 (125 mm) HDP pipe  all complete.</t>
  </si>
  <si>
    <t xml:space="preserve">Rubble masonry  filling  work in foundation   . </t>
  </si>
  <si>
    <t xml:space="preserve">Rubble masonry  filling  work in foundation  . </t>
  </si>
  <si>
    <t>Plain cement Concrete (PCC) in 1:5:10 ratio  for foundations, flooring and walls with approved quality of cement and sand and crushed stone aggregate including mixing, laying, curing etc all complete in approval of site engineer.</t>
  </si>
  <si>
    <t>Plain cement Concrete (PCC) in 1:5:10 ratio  for foundations, flooring and walls.</t>
  </si>
  <si>
    <t>Supply and fixing of  shower head with arm and flange European Pattern, Americand Standard</t>
  </si>
  <si>
    <t>Supplying and installation of UPVC Profile Casement Window frame 60x60 mm , Casement window sash 78x60 mm, Casement window mullion 72x60 mm white colour with galvanized steel reinforcement of 1.5 mm, 5 mm thick clear glass, insect net, patented standard h</t>
  </si>
  <si>
    <t>a) Single casement</t>
  </si>
  <si>
    <t>White glazed earthenware Indian pattern W C  500mm Orissa Pan with 3.0gallons low level flushing cistern with complete accessories including bracket, flushing pipe,pipe connector etc. all complete set</t>
  </si>
  <si>
    <t>White glazed earthenware Indian pattern W C  500mm Indian Pan with 10 liter low level flushing cistern .</t>
  </si>
  <si>
    <t>Double swing casement door with half glass &amp; laminated particle board</t>
  </si>
  <si>
    <t>Full panel double swing casement door</t>
  </si>
  <si>
    <t>Full laminated particle board double swing casement door</t>
  </si>
  <si>
    <t>i) Double glazing</t>
  </si>
  <si>
    <t>!@=% dL=dL= r'gf ;'sL{ -!M@_ Knfi6/ =======================================================================</t>
  </si>
  <si>
    <t xml:space="preserve">/]* cS;fO* k]G^ </t>
  </si>
  <si>
    <t>u]?</t>
  </si>
  <si>
    <t>s'v'/] hfln</t>
  </si>
  <si>
    <t>!) dL= k/ nlu ldnfO{ yfs nufpg] sfo{ .</t>
  </si>
  <si>
    <t>gf]6 M pk/f]Qm HofdL ;+Vof cf=g+= !( -^_ df lbOPsf] kl/df0fsf] %)Ü cg'dfg ul/P{sf] .</t>
  </si>
  <si>
    <t xml:space="preserve">!Æ afSnf] ?lkmË 6fon a'§f Knfi6/ </t>
  </si>
  <si>
    <t>l;d]G6 d;nf -!M$_ tof/ u/L nufpg] sfo{ .</t>
  </si>
  <si>
    <t>!Æ afSnf] ?lkmË /flkmË 6fon a'§f agfpg] ;Dk"0f{ sfo{</t>
  </si>
  <si>
    <t>a=dL=</t>
  </si>
  <si>
    <t>One side lamination Melamined faced (Exteriors Grade)</t>
  </si>
  <si>
    <t>Both side lamination Melamined faced (Exteriors Grade)</t>
  </si>
  <si>
    <t>tof/L 6Ls p8 kfs]{6</t>
  </si>
  <si>
    <t>tof/L lzzf} sf7 k}g]n</t>
  </si>
  <si>
    <t>tof/L x]l.6]h</t>
  </si>
  <si>
    <r>
      <t xml:space="preserve">$) ld=ld=afSnf] </t>
    </r>
    <r>
      <rPr>
        <sz val="10"/>
        <rFont val="Arial"/>
        <family val="2"/>
      </rPr>
      <t>Prefab</t>
    </r>
    <r>
      <rPr>
        <sz val="13"/>
        <rFont val="Preeti"/>
      </rPr>
      <t xml:space="preserve"> sf] </t>
    </r>
    <r>
      <rPr>
        <sz val="10"/>
        <rFont val="Arial"/>
        <family val="2"/>
      </rPr>
      <t xml:space="preserve">cubical </t>
    </r>
    <r>
      <rPr>
        <sz val="13"/>
        <rFont val="Preeti"/>
      </rPr>
      <t>tof/L kfl6{;g</t>
    </r>
  </si>
  <si>
    <r>
      <t xml:space="preserve">&amp;% ld=ld=afSnf] </t>
    </r>
    <r>
      <rPr>
        <sz val="10"/>
        <rFont val="Arial"/>
        <family val="2"/>
      </rPr>
      <t>Prefab</t>
    </r>
    <r>
      <rPr>
        <sz val="13"/>
        <rFont val="Preeti"/>
      </rPr>
      <t xml:space="preserve"> sf] </t>
    </r>
    <r>
      <rPr>
        <sz val="10"/>
        <rFont val="Arial"/>
        <family val="2"/>
      </rPr>
      <t xml:space="preserve"> </t>
    </r>
    <r>
      <rPr>
        <sz val="13"/>
        <rFont val="Preeti"/>
      </rPr>
      <t>tof/L kfl6{;g</t>
    </r>
  </si>
  <si>
    <r>
      <t xml:space="preserve">%) ld=ld=afSnf] </t>
    </r>
    <r>
      <rPr>
        <sz val="10"/>
        <rFont val="Arial"/>
        <family val="2"/>
      </rPr>
      <t>Prefab</t>
    </r>
    <r>
      <rPr>
        <sz val="13"/>
        <rFont val="Preeti"/>
      </rPr>
      <t xml:space="preserve"> sf] </t>
    </r>
    <r>
      <rPr>
        <sz val="10"/>
        <rFont val="Arial"/>
        <family val="2"/>
      </rPr>
      <t xml:space="preserve"> </t>
    </r>
    <r>
      <rPr>
        <sz val="13"/>
        <rFont val="Preeti"/>
      </rPr>
      <t>tof/L kfl6{;g</t>
    </r>
  </si>
  <si>
    <t>8.04.01</t>
  </si>
  <si>
    <t>F</t>
  </si>
  <si>
    <t>Mini Truck Rent(Per Hour/3cum)</t>
  </si>
  <si>
    <t>R</t>
  </si>
  <si>
    <t xml:space="preserve">Unskilled man </t>
  </si>
  <si>
    <t>LR</t>
  </si>
  <si>
    <t>Speed for Kathmandu valley</t>
  </si>
  <si>
    <t>V1</t>
  </si>
  <si>
    <t>20km/hour</t>
  </si>
  <si>
    <t>v1</t>
  </si>
  <si>
    <t>D1</t>
  </si>
  <si>
    <t>d1</t>
  </si>
  <si>
    <t>Labour</t>
  </si>
  <si>
    <t>0.4xL R</t>
  </si>
  <si>
    <t>3.2xTx F</t>
  </si>
  <si>
    <t>Equipment</t>
  </si>
  <si>
    <t>Total Rate for 10km/cum</t>
  </si>
  <si>
    <t>15% overheadcharge</t>
  </si>
  <si>
    <t>% ls=dL= ;Ddsf] b'/L # 6g Sofkfl;6Ls] 6«såf/f vlg elTs cfPsf tyf sfd gnfUg] a:t' tyf ;fdfg yGsfpg] sfd .</t>
  </si>
  <si>
    <t>b/ k|lt 3=dL= sf]</t>
  </si>
  <si>
    <r>
      <t>UPVC</t>
    </r>
    <r>
      <rPr>
        <b/>
        <sz val="10"/>
        <rFont val="Preeti"/>
      </rPr>
      <t xml:space="preserve"> sf]] ‰ofn, 9f]sf tyf</t>
    </r>
    <r>
      <rPr>
        <b/>
        <sz val="10"/>
        <rFont val="Times New Roman"/>
        <family val="1"/>
      </rPr>
      <t xml:space="preserve"> wall partition</t>
    </r>
    <r>
      <rPr>
        <b/>
        <sz val="10"/>
        <rFont val="Preeti"/>
      </rPr>
      <t xml:space="preserve"> sf lgdf{0f ;fdfu|Lx? </t>
    </r>
    <r>
      <rPr>
        <b/>
        <sz val="10"/>
        <rFont val="Times New Roman"/>
        <family val="1"/>
      </rPr>
      <t xml:space="preserve">(Certified by ISO 9001-2000, ISO 14001:2004, ISO 527-2:1993, ISO 178:2001, iec 60695-2-11:2001, ASTM D4226-00, 91/338/EEC) As per approved District rate of 068-069 </t>
    </r>
  </si>
  <si>
    <t xml:space="preserve">Fixing of 5 mm thick glass on existing fixed frames of windows, ventilators with wooden beading &amp; putty s all complete.  </t>
  </si>
  <si>
    <t>Fixing of 5 mm thick glass on existing fixed frames.</t>
  </si>
  <si>
    <t>50 mm dia CPVC Pipe  SDR 13.5 CTS, includes fixing/laying with necessary fittings  all complete.</t>
  </si>
  <si>
    <t>15 mm dia CPVC Ball Valve, CTS Socket  all complete.</t>
  </si>
  <si>
    <t>Nos</t>
  </si>
  <si>
    <t>20 mm dia CPVC Ball Valve, CTS Socket  all complete.</t>
  </si>
  <si>
    <t>25 mm dia CPVC Ball Valve, CTS Socket  all complete.</t>
  </si>
  <si>
    <t>32 mm dia CPVC Ball Valve, CTS Socket  all complete.</t>
  </si>
  <si>
    <t>40 mm dia CPVC Ball Valve, CTS Socket  all complete.</t>
  </si>
  <si>
    <t>50 mm dia CPVC Ball Valve, CTS Socket  all complete.</t>
  </si>
  <si>
    <t>16 mm dia multi-layer PAP Composite pipe  includes fixing/laying with necessary fittings  all complete.</t>
  </si>
  <si>
    <t xml:space="preserve">16 mm dia multi-layer PAP Composite pipe  </t>
  </si>
  <si>
    <t>20 mm dia multi-layer PAP Composite pipe  includes fixing/laying with necessary fittings  all complete.</t>
  </si>
  <si>
    <t xml:space="preserve">20 mm dia multi-layer PAP Composite pipe  </t>
  </si>
  <si>
    <t>25 mm dia multi-layer PAP Composite pipe  includes fixing/laying with necessary fittings  all complete.</t>
  </si>
  <si>
    <t xml:space="preserve">25 mm dia multi-layer PAP Composite pipe  </t>
  </si>
  <si>
    <t>32 mm dia multi-layer PAP Composite pipe  includes fixing/laying with necessary fittings  all complete.</t>
  </si>
  <si>
    <t xml:space="preserve">32 mm dia multi-layer PAP Composite pipe  </t>
  </si>
  <si>
    <t>40 mm dia multi-layer PAP Composite pipe  includes fixing/laying with necessary fittings  all complete.</t>
  </si>
  <si>
    <t xml:space="preserve">40 mm dia multi-layer PAP Composite pipe  </t>
  </si>
  <si>
    <t>50 mm dia multi-layer PAP Composite pipe  includes fixing/laying with necessary fittings  all complete.</t>
  </si>
  <si>
    <t xml:space="preserve">50 mm dia multi-layer PAP Composite pipe  </t>
  </si>
  <si>
    <t>25mm thick sal wood planking work with salwood frame (size 50x75mm)  making 60x90cm room size.</t>
  </si>
  <si>
    <t>12-30 cm dia tree cutting work</t>
  </si>
  <si>
    <t>Nos.</t>
  </si>
  <si>
    <t>137 cm dia tree cutting work</t>
  </si>
  <si>
    <t>Removing roots of tree</t>
  </si>
  <si>
    <t>Thick bush and plant cutting  work</t>
  </si>
  <si>
    <t>sq.m.</t>
  </si>
  <si>
    <t>Surface dressing work</t>
  </si>
  <si>
    <t>Upper earth cutting work</t>
  </si>
  <si>
    <t>Site preparation work with cleaning and disposal of debrises, uprooting roots, solid wastes etc. all complete .</t>
  </si>
  <si>
    <t xml:space="preserve">Site preparation work </t>
  </si>
  <si>
    <t xml:space="preserve">Earthwork in excavation in ordinary soils </t>
  </si>
  <si>
    <t>cu.m.</t>
  </si>
  <si>
    <t>Earthwork in excavation in hard/boulder mix soils in foundation including 10m hauling distance and 1.5 m. lift all complete.</t>
  </si>
  <si>
    <t xml:space="preserve">Earthwork in excavation in hard/boulder mix soils </t>
  </si>
  <si>
    <t>Gun metal two way collection head with 63mm dia. Insteintaneous type inlet including built in check valve for Fire Bridgade connection to under ground water tank or hose reel</t>
  </si>
  <si>
    <t>12.5mm thick cement sand plaster in (1:4) ratio on ceiling of good finish including racking the joint, wetting of surfaces &amp; curing the work all complete.</t>
  </si>
  <si>
    <t>12.5mm thick cement sand plaster in (1:4) ratio on ceiling.</t>
  </si>
  <si>
    <r>
      <t>v_ !</t>
    </r>
    <r>
      <rPr>
        <vertAlign val="superscript"/>
        <sz val="14"/>
        <rFont val="Preeti"/>
      </rPr>
      <t>!</t>
    </r>
    <r>
      <rPr>
        <sz val="14"/>
        <rFont val="Preeti"/>
      </rPr>
      <t>÷</t>
    </r>
    <r>
      <rPr>
        <vertAlign val="subscript"/>
        <sz val="14"/>
        <rFont val="Preeti"/>
      </rPr>
      <t>@</t>
    </r>
    <r>
      <rPr>
        <sz val="14"/>
        <rFont val="Preeti"/>
      </rPr>
      <t>Æ ;Dd afSnf      ,,       ,,</t>
    </r>
  </si>
  <si>
    <r>
      <t>3_ @</t>
    </r>
    <r>
      <rPr>
        <vertAlign val="superscript"/>
        <sz val="14"/>
        <rFont val="Preeti"/>
      </rPr>
      <t>!</t>
    </r>
    <r>
      <rPr>
        <sz val="14"/>
        <rFont val="Preeti"/>
      </rPr>
      <t>÷</t>
    </r>
    <r>
      <rPr>
        <vertAlign val="subscript"/>
        <sz val="14"/>
        <rFont val="Preeti"/>
      </rPr>
      <t>@</t>
    </r>
    <r>
      <rPr>
        <sz val="14"/>
        <rFont val="Preeti"/>
      </rPr>
      <t xml:space="preserve">Æ ;Dd afSnf] 9'Ëf  ,,         ,,    </t>
    </r>
  </si>
  <si>
    <t>OPAL JOINT SET PRIMER</t>
  </si>
  <si>
    <t>It is a recommended for surface namely concrete, brick work, cement, gypsum board, natural and artificial stone, glass ceramics, anodized aluminium, timer and rigid PVC etc.</t>
  </si>
  <si>
    <t>gofF ;km]{;df XjfO{6jfz ug]{ sfd -l;ln+udf_ b'O{ sf]6 =======================================================================</t>
  </si>
  <si>
    <t>UPVC Double Glazing Casement Window 60*60 mm Frame White Colour With 5mm Glass</t>
  </si>
  <si>
    <t>UPVC Sliding Window With 50*80 mm White Colour And 5mm Glass With Aluminium Sliding Track</t>
  </si>
  <si>
    <t>UPVC Casement Window 60*60 mm Frame White Colour With 5mm Glass With UPVC Panel Luever Fixed</t>
  </si>
  <si>
    <t>16-20 mm dia bar fixing in window chaukhat.</t>
  </si>
  <si>
    <t>38mm thick (1:2:4) P.C.C. for flooring with approved quality of O.P. cement &amp; sand and crushed stone aggregate including mixing, laying, punning, rubbing in hard surface curing etc all complete.</t>
  </si>
  <si>
    <t>38mm thick (1:2:4) P.C.C. for flooring with punning, rubbing in hard surface curing.</t>
  </si>
  <si>
    <t>50mm thick (1:2:4) P.C.C. for flooring with approved quality of O.P. cement &amp; sand and crushed stone aggregate including mixing, laying, punning, rubbing in hard surface curing etc all complete.</t>
  </si>
  <si>
    <t>50mm thick (1:2:4) P.C.C. for flooring with punning, rubbing in hard surface curing.</t>
  </si>
  <si>
    <t>75mm thick (1:2:4) P.C.C. for flooring with approved quality of O.P. cement &amp; sand and crushed stone aggregate including mixing, laying, punning, rubbing in hard surface curing etc all complete.</t>
  </si>
  <si>
    <t>75mm thick (1:2:4) P.C.C. for flooring with approved quality of O.P. cement &amp; sand and crushed stone aggregate.</t>
  </si>
  <si>
    <t>25mm thick mosaic flooring- 5mm thick white cement and marble chips(1:1) on 20mm (1:2:4) cement conc. Rubbing and polishing properly.</t>
  </si>
  <si>
    <t>25mm thick mosaic flooring- 5mm thick white cement and marble chips(1:1) on 20mm (1:2:4) cement conc.</t>
  </si>
  <si>
    <t>ld;fO{ 8]Dk k|'lkm+Ë ug]{ .</t>
  </si>
  <si>
    <t>79==116</t>
  </si>
  <si>
    <t>!(!–@*^</t>
  </si>
  <si>
    <t>12.5mm thick cement sand plaster in (1:4) ratio on wall of good finish including racking the joint, wetting of surfaces &amp; curing the work all complete.</t>
  </si>
  <si>
    <t>12.5mm thick cement sand plaster in (1:4) ratio on wall .</t>
  </si>
  <si>
    <t>12.5mm thick cement sand plaster in (1:6) ratio on wall of good finish including racking the joint, wetting of surfaces &amp; curing the work all complete.</t>
  </si>
  <si>
    <t>25mm thick mosaic flooring-  6mm thick white cement and marble chips(1:2) on 19mm thick cement plastering (1:2) and rubbing and polishing properly.</t>
  </si>
  <si>
    <t xml:space="preserve">Supplying and laying of 20mm thick Terrazzo tiles in 20mm thick cement sand motar (1:4) ratio on floors, skirting and wall s all complete. </t>
  </si>
  <si>
    <t>ii)Water resistant false ceiling</t>
  </si>
  <si>
    <r>
      <t>Fixing /laying 150 mm dia NP</t>
    </r>
    <r>
      <rPr>
        <vertAlign val="superscript"/>
        <sz val="10"/>
        <rFont val="Arial"/>
        <family val="2"/>
      </rPr>
      <t xml:space="preserve">2 </t>
    </r>
    <r>
      <rPr>
        <sz val="10"/>
        <rFont val="Arial"/>
        <family val="2"/>
      </rPr>
      <t>RCC Hume pipe with collar including 1:4 cement sand mortar all complete.</t>
    </r>
  </si>
  <si>
    <t>20mm thick Terrazzo tiles in 20mm thick cement sand motar (1:4) ratio on floors, skirting and wall.</t>
  </si>
  <si>
    <r>
      <t>ix)</t>
    </r>
    <r>
      <rPr>
        <sz val="14"/>
        <rFont val="Preeti"/>
      </rPr>
      <t xml:space="preserve"> </t>
    </r>
    <r>
      <rPr>
        <sz val="12"/>
        <rFont val="Preeti"/>
      </rPr>
      <t>;fdfGo k|sf/sf]</t>
    </r>
    <r>
      <rPr>
        <sz val="14"/>
        <rFont val="Preeti"/>
      </rPr>
      <t xml:space="preserve"> </t>
    </r>
    <r>
      <rPr>
        <sz val="12"/>
        <rFont val="Preeti"/>
      </rPr>
      <t xml:space="preserve">s'FlbPsf] ;fnsf] sf7sf] cfFvL em\ofn tof/L </t>
    </r>
  </si>
  <si>
    <r>
      <t>x)</t>
    </r>
    <r>
      <rPr>
        <sz val="14"/>
        <rFont val="Preeti"/>
      </rPr>
      <t xml:space="preserve"> </t>
    </r>
    <r>
      <rPr>
        <sz val="12"/>
        <rFont val="Preeti"/>
      </rPr>
      <t>dWod k|sf/sf]</t>
    </r>
    <r>
      <rPr>
        <sz val="14"/>
        <rFont val="Preeti"/>
      </rPr>
      <t xml:space="preserve"> </t>
    </r>
    <r>
      <rPr>
        <sz val="12"/>
        <rFont val="Preeti"/>
      </rPr>
      <t>s'FlbPsf] ;fnsf] sf7sf] cfFvL em\ofn tof/L</t>
    </r>
  </si>
  <si>
    <r>
      <t>200 mm dia NP</t>
    </r>
    <r>
      <rPr>
        <vertAlign val="superscript"/>
        <sz val="10"/>
        <rFont val="Arial"/>
        <family val="2"/>
      </rPr>
      <t xml:space="preserve">2 </t>
    </r>
    <r>
      <rPr>
        <sz val="10"/>
        <rFont val="Arial"/>
        <family val="2"/>
      </rPr>
      <t>RCC Hume pipe including collar with all complete.</t>
    </r>
  </si>
  <si>
    <r>
      <t>Fixing /laying 300 mm dia NP</t>
    </r>
    <r>
      <rPr>
        <vertAlign val="superscript"/>
        <sz val="10"/>
        <rFont val="Arial"/>
        <family val="2"/>
      </rPr>
      <t xml:space="preserve">2 </t>
    </r>
    <r>
      <rPr>
        <sz val="10"/>
        <rFont val="Arial"/>
        <family val="2"/>
      </rPr>
      <t>RCC Hume pipe with collar including 1:4 cement sand mortar all complete.</t>
    </r>
  </si>
  <si>
    <r>
      <t>300 mm dia NP</t>
    </r>
    <r>
      <rPr>
        <vertAlign val="superscript"/>
        <sz val="10"/>
        <rFont val="Arial"/>
        <family val="2"/>
      </rPr>
      <t xml:space="preserve">2 </t>
    </r>
    <r>
      <rPr>
        <sz val="10"/>
        <rFont val="Arial"/>
        <family val="2"/>
      </rPr>
      <t>RCC Hume pipe including collar with all complete.</t>
    </r>
  </si>
  <si>
    <r>
      <t>400mm dia NP</t>
    </r>
    <r>
      <rPr>
        <vertAlign val="superscript"/>
        <sz val="10"/>
        <rFont val="Arial"/>
        <family val="2"/>
      </rPr>
      <t xml:space="preserve">2 </t>
    </r>
    <r>
      <rPr>
        <sz val="10"/>
        <rFont val="Arial"/>
        <family val="2"/>
      </rPr>
      <t>RCC Hume pipe including collar with all complete.</t>
    </r>
  </si>
  <si>
    <t>xf]N*kmf:^ k|lt s]=hL= 7 j^f</t>
  </si>
  <si>
    <r>
      <t>cfNd'lgod s};d]G6 em\ofn 6fOk–</t>
    </r>
    <r>
      <rPr>
        <sz val="12"/>
        <rFont val="Arial"/>
        <family val="2"/>
      </rPr>
      <t xml:space="preserve">B </t>
    </r>
    <r>
      <rPr>
        <sz val="12"/>
        <rFont val="Preeti"/>
      </rPr>
      <t xml:space="preserve">-$@=&amp;) </t>
    </r>
    <r>
      <rPr>
        <sz val="12"/>
        <rFont val="Arial"/>
        <family val="2"/>
      </rPr>
      <t xml:space="preserve">x </t>
    </r>
    <r>
      <rPr>
        <sz val="12"/>
        <rFont val="Preeti"/>
      </rPr>
      <t xml:space="preserve">#* </t>
    </r>
    <r>
      <rPr>
        <sz val="12"/>
        <rFont val="Arial"/>
        <family val="2"/>
      </rPr>
      <t xml:space="preserve">X </t>
    </r>
    <r>
      <rPr>
        <sz val="12"/>
        <rFont val="Preeti"/>
      </rPr>
      <t xml:space="preserve">@=!@ dL=dL=_ </t>
    </r>
  </si>
  <si>
    <r>
      <t xml:space="preserve">cfNd'lgod lkmS; e]G6Ln];g ;lxtsf] s};d]G6 em\ofn -$@=&amp;) </t>
    </r>
    <r>
      <rPr>
        <sz val="12"/>
        <rFont val="Arial"/>
        <family val="2"/>
      </rPr>
      <t>x</t>
    </r>
    <r>
      <rPr>
        <sz val="12"/>
        <rFont val="Preeti"/>
      </rPr>
      <t xml:space="preserve"> #* </t>
    </r>
    <r>
      <rPr>
        <sz val="12"/>
        <rFont val="Arial"/>
        <family val="2"/>
      </rPr>
      <t>X</t>
    </r>
    <r>
      <rPr>
        <sz val="12"/>
        <rFont val="Preeti"/>
      </rPr>
      <t xml:space="preserve"> @=!@ dL=dL=_ </t>
    </r>
  </si>
  <si>
    <r>
      <t xml:space="preserve">cfNd'lgodsf] tof/L 9f]sf b'O{ k}g]n ePsf] </t>
    </r>
    <r>
      <rPr>
        <sz val="12"/>
        <rFont val="Arial"/>
        <family val="2"/>
      </rPr>
      <t>Hinge Door</t>
    </r>
    <r>
      <rPr>
        <sz val="12"/>
        <rFont val="Preeti"/>
      </rPr>
      <t xml:space="preserve"> -&amp;@=@) </t>
    </r>
    <r>
      <rPr>
        <sz val="12"/>
        <rFont val="Arial"/>
        <family val="2"/>
      </rPr>
      <t>x</t>
    </r>
    <r>
      <rPr>
        <sz val="12"/>
        <rFont val="Preeti"/>
      </rPr>
      <t xml:space="preserve"> %) </t>
    </r>
    <r>
      <rPr>
        <sz val="12"/>
        <rFont val="Arial"/>
        <family val="2"/>
      </rPr>
      <t>X</t>
    </r>
    <r>
      <rPr>
        <sz val="12"/>
        <rFont val="Preeti"/>
      </rPr>
      <t xml:space="preserve"> !=%) dL=dL=_ </t>
    </r>
  </si>
  <si>
    <r>
      <t xml:space="preserve">cfNd'lgodsf] tof/L 9f]sf l;+un k}g]n ePsf] </t>
    </r>
    <r>
      <rPr>
        <sz val="12"/>
        <rFont val="Arial"/>
        <family val="2"/>
      </rPr>
      <t>Hinge Door</t>
    </r>
    <r>
      <rPr>
        <sz val="12"/>
        <rFont val="Preeti"/>
      </rPr>
      <t xml:space="preserve"> -&amp;@=@) </t>
    </r>
    <r>
      <rPr>
        <sz val="12"/>
        <rFont val="Arial"/>
        <family val="2"/>
      </rPr>
      <t>x</t>
    </r>
    <r>
      <rPr>
        <sz val="12"/>
        <rFont val="Preeti"/>
      </rPr>
      <t xml:space="preserve"> %) </t>
    </r>
    <r>
      <rPr>
        <sz val="12"/>
        <rFont val="Arial"/>
        <family val="2"/>
      </rPr>
      <t>X</t>
    </r>
    <r>
      <rPr>
        <sz val="12"/>
        <rFont val="Preeti"/>
      </rPr>
      <t xml:space="preserve"> !=%) dL=dL=_ </t>
    </r>
  </si>
  <si>
    <r>
      <t xml:space="preserve">cfNd'lgodsf] b'O{ k}g]n ePsf] </t>
    </r>
    <r>
      <rPr>
        <sz val="12"/>
        <rFont val="Arial"/>
        <family val="2"/>
      </rPr>
      <t>Swing Door</t>
    </r>
    <r>
      <rPr>
        <sz val="12"/>
        <rFont val="Preeti"/>
      </rPr>
      <t xml:space="preserve"> -!)!=^) </t>
    </r>
    <r>
      <rPr>
        <sz val="12"/>
        <rFont val="Arial"/>
        <family val="2"/>
      </rPr>
      <t>x</t>
    </r>
    <r>
      <rPr>
        <sz val="12"/>
        <rFont val="Preeti"/>
      </rPr>
      <t xml:space="preserve"> $$=%) </t>
    </r>
    <r>
      <rPr>
        <sz val="12"/>
        <rFont val="Arial"/>
        <family val="2"/>
      </rPr>
      <t>X</t>
    </r>
    <r>
      <rPr>
        <sz val="12"/>
        <rFont val="Preeti"/>
      </rPr>
      <t xml:space="preserve"> !=*) dL=dL=_ </t>
    </r>
  </si>
  <si>
    <r>
      <t xml:space="preserve">cfNd'lgodsf] l;+un k}g]n ePsf] </t>
    </r>
    <r>
      <rPr>
        <sz val="12"/>
        <rFont val="Arial"/>
        <family val="2"/>
      </rPr>
      <t>Swing Door</t>
    </r>
    <r>
      <rPr>
        <sz val="12"/>
        <rFont val="Preeti"/>
      </rPr>
      <t xml:space="preserve">     -!)!=^) </t>
    </r>
    <r>
      <rPr>
        <sz val="12"/>
        <rFont val="Arial"/>
        <family val="2"/>
      </rPr>
      <t>x</t>
    </r>
    <r>
      <rPr>
        <sz val="12"/>
        <rFont val="Preeti"/>
      </rPr>
      <t xml:space="preserve"> $$=%) </t>
    </r>
    <r>
      <rPr>
        <sz val="12"/>
        <rFont val="Arial"/>
        <family val="2"/>
      </rPr>
      <t>X</t>
    </r>
    <r>
      <rPr>
        <sz val="12"/>
        <rFont val="Preeti"/>
      </rPr>
      <t xml:space="preserve"> !=*) dL=dL=_ </t>
    </r>
  </si>
  <si>
    <t>a) Providing, fitting &amp; fixing in position G.I under frame using GYP steel branded channel with 9-12 mm th. MPL (Moralized Polyester Laminated) board finishing of joints with compound tape  all complete work</t>
  </si>
  <si>
    <t>ˆnf]l/Ëdf afn'jf eg]{ sfd =========================================================================================</t>
  </si>
  <si>
    <t>viii) Aluminium partition with 5 mm thick glass and 9 mm thick laminated board of section (101 x45x1.1)</t>
  </si>
  <si>
    <t>Iron Square Pipe/Black Pipe/Channel/ Angle/I-Beam/Black Sheet/MS Plate</t>
  </si>
  <si>
    <t xml:space="preserve">i) Iron Square Pipe </t>
  </si>
  <si>
    <t>G.I. Wire</t>
  </si>
  <si>
    <t>i)  a) 8 gauge light class</t>
  </si>
  <si>
    <t xml:space="preserve">    b) 8 gauge medium class   </t>
  </si>
  <si>
    <r>
      <t>Fixing /laying 600 mm dia NP</t>
    </r>
    <r>
      <rPr>
        <vertAlign val="superscript"/>
        <sz val="10"/>
        <rFont val="Arial"/>
        <family val="2"/>
      </rPr>
      <t xml:space="preserve">2 </t>
    </r>
    <r>
      <rPr>
        <sz val="10"/>
        <rFont val="Arial"/>
        <family val="2"/>
      </rPr>
      <t>RCC Hume pipe with collar including 1:4 cement sand mortar all complete.</t>
    </r>
  </si>
  <si>
    <r>
      <t>Fixing /laying 150 mm dia NP</t>
    </r>
    <r>
      <rPr>
        <vertAlign val="superscript"/>
        <sz val="10"/>
        <rFont val="Arial"/>
        <family val="2"/>
      </rPr>
      <t xml:space="preserve">3 </t>
    </r>
    <r>
      <rPr>
        <sz val="10"/>
        <rFont val="Arial"/>
        <family val="2"/>
      </rPr>
      <t>RCC Hume pipe with collar including 1:4 cement sand mortar all complete.</t>
    </r>
  </si>
  <si>
    <t>Fixing /laying 180 mm dia Plastic Water Gutter pipe ( Half Round)  with necessary fittings  all complete.</t>
  </si>
  <si>
    <r>
      <t xml:space="preserve">3_ </t>
    </r>
    <r>
      <rPr>
        <b/>
        <sz val="12"/>
        <rFont val="Times New Roman"/>
        <family val="1"/>
      </rPr>
      <t>MJG/10x12/2.7/3.4/2.2/ZN</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</si>
  <si>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</si>
  <si>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</si>
  <si>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ª_ </t>
    </r>
    <r>
      <rPr>
        <b/>
        <sz val="12"/>
        <rFont val="Times New Roman"/>
        <family val="1"/>
      </rPr>
      <t>MRM/6x8/2.2/2.7/2.2/ZN</t>
    </r>
  </si>
  <si>
    <r>
      <t xml:space="preserve">  #</t>
    </r>
    <r>
      <rPr>
        <sz val="14"/>
        <rFont val="Times New Roman"/>
        <family val="1"/>
      </rPr>
      <t>×</t>
    </r>
    <r>
      <rPr>
        <sz val="14"/>
        <rFont val="Preeti"/>
      </rPr>
      <t>@</t>
    </r>
    <r>
      <rPr>
        <sz val="14"/>
        <rFont val="Times New Roman"/>
        <family val="1"/>
      </rPr>
      <t>×</t>
    </r>
    <r>
      <rPr>
        <sz val="14"/>
        <rFont val="Preeti"/>
      </rPr>
      <t>)=!&amp;</t>
    </r>
  </si>
  <si>
    <r>
      <t xml:space="preserve">  $</t>
    </r>
    <r>
      <rPr>
        <sz val="14"/>
        <rFont val="Times New Roman"/>
        <family val="1"/>
      </rPr>
      <t>×</t>
    </r>
    <r>
      <rPr>
        <sz val="14"/>
        <rFont val="Preeti"/>
      </rPr>
      <t>@</t>
    </r>
    <r>
      <rPr>
        <sz val="14"/>
        <rFont val="Times New Roman"/>
        <family val="1"/>
      </rPr>
      <t>×</t>
    </r>
    <r>
      <rPr>
        <sz val="14"/>
        <rFont val="Preeti"/>
      </rPr>
      <t>)=!&amp;</t>
    </r>
    <r>
      <rPr>
        <sz val="11"/>
        <rFont val="Arial"/>
        <family val="2"/>
      </rPr>
      <t xml:space="preserve"> </t>
    </r>
  </si>
  <si>
    <r>
      <t xml:space="preserve">     </t>
    </r>
    <r>
      <rPr>
        <sz val="14"/>
        <rFont val="Preeti"/>
      </rPr>
      <t>%</t>
    </r>
    <r>
      <rPr>
        <sz val="14"/>
        <rFont val="Times New Roman"/>
        <family val="1"/>
      </rPr>
      <t>×</t>
    </r>
    <r>
      <rPr>
        <sz val="14"/>
        <rFont val="Preeti"/>
      </rPr>
      <t>@</t>
    </r>
    <r>
      <rPr>
        <sz val="14"/>
        <rFont val="Times New Roman"/>
        <family val="1"/>
      </rPr>
      <t>×</t>
    </r>
    <r>
      <rPr>
        <sz val="14"/>
        <rFont val="Preeti"/>
      </rPr>
      <t>)=!&amp;</t>
    </r>
  </si>
  <si>
    <r>
      <t xml:space="preserve">     </t>
    </r>
    <r>
      <rPr>
        <sz val="14"/>
        <rFont val="Preeti"/>
      </rPr>
      <t>^</t>
    </r>
    <r>
      <rPr>
        <sz val="14"/>
        <rFont val="Times New Roman"/>
        <family val="1"/>
      </rPr>
      <t>×</t>
    </r>
    <r>
      <rPr>
        <sz val="14"/>
        <rFont val="Preeti"/>
      </rPr>
      <t>@</t>
    </r>
    <r>
      <rPr>
        <sz val="14"/>
        <rFont val="Times New Roman"/>
        <family val="1"/>
      </rPr>
      <t>×</t>
    </r>
    <r>
      <rPr>
        <sz val="14"/>
        <rFont val="Preeti"/>
      </rPr>
      <t xml:space="preserve">)=!&amp; </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</si>
  <si>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</si>
  <si>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</si>
  <si>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</si>
  <si>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</si>
  <si>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</si>
  <si>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</si>
  <si>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</si>
  <si>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</si>
  <si>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r>
      <t xml:space="preserve">r_ </t>
    </r>
    <r>
      <rPr>
        <b/>
        <sz val="12"/>
        <rFont val="Times New Roman"/>
        <family val="1"/>
      </rPr>
      <t>WMN/ZN</t>
    </r>
  </si>
  <si>
    <r>
      <t>^</t>
    </r>
    <r>
      <rPr>
        <sz val="14"/>
        <rFont val="Times New Roman"/>
        <family val="1"/>
      </rPr>
      <t>×</t>
    </r>
    <r>
      <rPr>
        <sz val="14"/>
        <rFont val="Preeti"/>
      </rPr>
      <t>*</t>
    </r>
    <r>
      <rPr>
        <sz val="14"/>
        <rFont val="Times New Roman"/>
        <family val="1"/>
      </rPr>
      <t>/</t>
    </r>
    <r>
      <rPr>
        <sz val="14"/>
        <rFont val="Preeti"/>
      </rPr>
      <t>@=@</t>
    </r>
    <r>
      <rPr>
        <sz val="14"/>
        <rFont val="Times New Roman"/>
        <family val="1"/>
      </rPr>
      <t>/</t>
    </r>
    <r>
      <rPr>
        <sz val="14"/>
        <rFont val="Preeti"/>
      </rPr>
      <t>@=&amp;</t>
    </r>
  </si>
  <si>
    <t>e'O{tNnfeGbf dfly lrDgL e§fsf] O{6f pknAw ug]{,</t>
  </si>
  <si>
    <t>r'gf</t>
  </si>
  <si>
    <t xml:space="preserve">afn'jf </t>
  </si>
  <si>
    <t>df6f]sf] d;nf tof/ u/L uf/f] nufpg] sfd</t>
  </si>
  <si>
    <t xml:space="preserve"> #) dL6/;Dd 9'jfgL ;lxt </t>
  </si>
  <si>
    <t>df6f]</t>
  </si>
  <si>
    <t>df6f]sf] d;nf tof/ u/L uf/f] nufpg]</t>
  </si>
  <si>
    <t>9'+ufsf] -/a'n_ uf/f]sf] sfd ;fx|f] Ans:6f]g pknAw ug]{,</t>
  </si>
  <si>
    <t>l;d]G6 d;nf !M# tof/ u/L uf/f] nufpg]</t>
  </si>
  <si>
    <t>kmnfd] 3'Dg] e¥ofË agfO{ h8fg ug]{ sfd =======================================================================</t>
  </si>
  <si>
    <t>ljdsf] nflu !( dL=dL KnfO{sf] kmdf{ agfpg] sfd,dfn;fdfgsf] pknlAw, 5gf}6 ug]{, gS;f cg';f/ kmdf{ /fVg]</t>
  </si>
  <si>
    <t xml:space="preserve">lsnf / cGt/ nufpg] kmdf{ lemSg], x6fpg] #) ld6/;Dd 9'jfgL ;lxt . </t>
  </si>
  <si>
    <t>0.155/6x0.75=0.019</t>
  </si>
  <si>
    <t>10.68/15x0.75=0.54</t>
  </si>
  <si>
    <t>d]l;gd]8 Sn] 6fon !M$ l;d]G6 afn'jfdf jfn ;km]{;df 6f+:g] sfo{</t>
  </si>
  <si>
    <t>Providing fitting, fixing in posiotion G.I. Under frame, using GYPSTEEL branded</t>
  </si>
  <si>
    <t xml:space="preserve">channel fixing 9.0-12.5mm thick Gyp board or Boral Plaster board finishing </t>
  </si>
  <si>
    <t>of joints with compound &amp; tape all complete.</t>
  </si>
  <si>
    <t>lhk af]8{ kmN;\l;lnËsf</t>
  </si>
  <si>
    <t xml:space="preserve"> </t>
  </si>
  <si>
    <t xml:space="preserve">kmnfd]sf] kfOk / KnfOaf]8{af6 kmdf{ agfpg] sfd   =============================================================================================   </t>
  </si>
  <si>
    <t xml:space="preserve">Supplying and laying Teak wood Parqueting on floor polishing </t>
  </si>
  <si>
    <t xml:space="preserve">Supplying and fixing 6mm.waterproof ply false ceiling </t>
  </si>
  <si>
    <t>gofF ;km]{;df XjfO{6jfz tLg sf]6 ug]{ sfd =======================================================================</t>
  </si>
  <si>
    <t xml:space="preserve"> -!=$_ efusf] ld&gt;0fsf] l;d]G6 d;nf tof/ ul/ v6 /flv !ÆjfSnf] Knfi6/df ?lkmª 6fOnsf] j'§f sf6\g] ;fdfg ;lxt -tof/L_ </t>
  </si>
  <si>
    <t>j=ld=</t>
  </si>
  <si>
    <t>A unique single component compound for fixing tiles, marbles, granite etc. on any plain surface (walls as well as floor). Highly economical and easy to use. A very thin coating is required.</t>
  </si>
  <si>
    <t>OPAL – TILE MASTER</t>
  </si>
  <si>
    <r>
      <t>k)</t>
    </r>
    <r>
      <rPr>
        <sz val="12"/>
        <rFont val="Preeti"/>
      </rPr>
      <t xml:space="preserve"> /f]lnË ;6/ ck/];gsf] nflu Xof08Ln /f]lnË u]o/</t>
    </r>
  </si>
  <si>
    <r>
      <t>l)</t>
    </r>
    <r>
      <rPr>
        <sz val="12"/>
        <rFont val="Preeti"/>
      </rPr>
      <t xml:space="preserve"> /f]lnË ;6/ ck/];gsf] nflu On]S6«Ls /f]lnË u]o/ k'; j6g l;:6d</t>
    </r>
  </si>
  <si>
    <r>
      <t>m)</t>
    </r>
    <r>
      <rPr>
        <sz val="12"/>
        <rFont val="Preeti"/>
      </rPr>
      <t xml:space="preserve"> !* u]h kftfaf6 sDkfp08 jfnsf] u]6 agfO{ h8fg ug]{ -%) </t>
    </r>
    <r>
      <rPr>
        <sz val="12"/>
        <rFont val="Times New Roman"/>
        <family val="1"/>
      </rPr>
      <t xml:space="preserve">x </t>
    </r>
    <r>
      <rPr>
        <sz val="12"/>
        <rFont val="Preeti"/>
      </rPr>
      <t>%)</t>
    </r>
    <r>
      <rPr>
        <sz val="12"/>
        <rFont val="Times New Roman"/>
        <family val="1"/>
      </rPr>
      <t xml:space="preserve">x </t>
    </r>
    <r>
      <rPr>
        <sz val="12"/>
        <rFont val="Preeti"/>
      </rPr>
      <t>%</t>
    </r>
    <r>
      <rPr>
        <sz val="12"/>
        <rFont val="Times New Roman"/>
        <family val="1"/>
      </rPr>
      <t xml:space="preserve"> mm)</t>
    </r>
    <r>
      <rPr>
        <sz val="12"/>
        <rFont val="Preeti"/>
      </rPr>
      <t xml:space="preserve"> sf] k|m]d ;d]t_</t>
    </r>
  </si>
  <si>
    <r>
      <t>n)</t>
    </r>
    <r>
      <rPr>
        <sz val="12"/>
        <rFont val="Preeti"/>
      </rPr>
      <t xml:space="preserve"> #æ–$æ Jof;sf]</t>
    </r>
    <r>
      <rPr>
        <sz val="12"/>
        <rFont val="Times New Roman"/>
        <family val="1"/>
      </rPr>
      <t xml:space="preserve"> Iron Black Pipe</t>
    </r>
    <r>
      <rPr>
        <sz val="12"/>
        <rFont val="Preeti"/>
      </rPr>
      <t xml:space="preserve">df PËn / kl§ /fvL  v'8lsnf ;lxtsf] </t>
    </r>
    <r>
      <rPr>
        <b/>
        <sz val="12"/>
        <rFont val="Preeti"/>
      </rPr>
      <t>3'Dg] e¥ofË</t>
    </r>
    <r>
      <rPr>
        <sz val="12"/>
        <rFont val="Preeti"/>
      </rPr>
      <t xml:space="preserve"> </t>
    </r>
    <r>
      <rPr>
        <sz val="12"/>
        <rFont val="Times New Roman"/>
        <family val="1"/>
      </rPr>
      <t>(Spiral Staircase)</t>
    </r>
    <r>
      <rPr>
        <sz val="12"/>
        <rFont val="Preeti"/>
      </rPr>
      <t xml:space="preserve">tof/ u/L h8fg ;d]t -e¥ofªsf] gfkL ubf{ </t>
    </r>
    <r>
      <rPr>
        <sz val="12"/>
        <rFont val="Times New Roman"/>
        <family val="1"/>
      </rPr>
      <t>floor to floor height</t>
    </r>
    <r>
      <rPr>
        <sz val="12"/>
        <rFont val="Preeti"/>
      </rPr>
      <t xml:space="preserve"> lng]_</t>
    </r>
  </si>
  <si>
    <r>
      <t>i)</t>
    </r>
    <r>
      <rPr>
        <sz val="12"/>
        <rFont val="Preeti"/>
      </rPr>
      <t xml:space="preserve"> kmnfd] /f]lnË ;6/ 808L k|of]u u/L agfOsf] ;fy} h8fg ug]{ ;d]t</t>
    </r>
  </si>
  <si>
    <r>
      <t>j)</t>
    </r>
    <r>
      <rPr>
        <sz val="12"/>
        <rFont val="Preeti"/>
      </rPr>
      <t xml:space="preserve"> lk=le=;L= /f]lnË ;6/ agfO{ h8fg ;d]t</t>
    </r>
  </si>
  <si>
    <t>oflGqs pks/0f</t>
  </si>
  <si>
    <t xml:space="preserve"> Hofldsf] Hofnfsf] #Ü n]</t>
  </si>
  <si>
    <t>@) dL=dL= r'gf ;'sL{ -!M@_ Knfi6/ =======================================================================</t>
  </si>
  <si>
    <t xml:space="preserve">sf7df kmdf{ agfpg] sfd  =============================================================================================   </t>
  </si>
  <si>
    <t xml:space="preserve">sf]nddf kmdf{ nuffpg] sfd  =============================================================================================   </t>
  </si>
  <si>
    <t>:Sjfo/ kfO{k</t>
  </si>
  <si>
    <t xml:space="preserve"> /]lnË agfO{</t>
  </si>
  <si>
    <t>;fn jf lzzf} sf7sf]</t>
  </si>
  <si>
    <t>a|f; SoflkË</t>
  </si>
  <si>
    <t>c:t/ jfx]s b'O{ sf]6 cfNd'lgod k]G6 ug]{ sfd .</t>
  </si>
  <si>
    <t xml:space="preserve">/]8 </t>
  </si>
  <si>
    <t>cS;fO8 k]G6</t>
  </si>
  <si>
    <t>Ps sf]6 8jn jf]ON8 lnG;L8 cfon nufpg] sfd =======================================================================</t>
  </si>
  <si>
    <t>b'O{ sf]6 8jn jf]ON8 lnG;L8 cfon nufpg] sfd =======================================================================</t>
  </si>
  <si>
    <t>Ps sf]6 cnsqf k]G6 nufpg] sfd =======================================================================</t>
  </si>
  <si>
    <t>nn) Roller, Vib Pedestrain  (Upto 0.5 ton)</t>
  </si>
  <si>
    <t>oo) Roller, Vib Sheep Foot   (Upto 10 ton)</t>
  </si>
  <si>
    <t>pp) Roller, Vib, Self Prop   (Upto 3 ton)</t>
  </si>
  <si>
    <t>qq) Roller, Vib, Self Prop   (3 ton+)</t>
  </si>
  <si>
    <t>rr) Roller, Vib, towed   (Upto 7 ton)</t>
  </si>
  <si>
    <t>ss) Spreader chips, Self propeeled</t>
  </si>
  <si>
    <t>tt) Sprayer, Emulsion    (Upto 1 KL)</t>
  </si>
  <si>
    <t>uu) Truck, Flat Bed/ Crane   (Upto 7 ton)</t>
  </si>
  <si>
    <t>vv) Truck, Flat Bed   (Upto 159 HP)</t>
  </si>
  <si>
    <t>ww) Truck, Tipper   (Upto 159 HP)</t>
  </si>
  <si>
    <t>xx) Truck Tipper   (From 150 HP+)</t>
  </si>
  <si>
    <t>yy) Mini Truck</t>
  </si>
  <si>
    <t>bbb) Water Tanker    (Upto 16 KL)</t>
  </si>
  <si>
    <t>ccc) Trailer</t>
  </si>
  <si>
    <t>ddd) Tractor    (Upto 85 HP)</t>
  </si>
  <si>
    <t>eee) Vibrator (Engine)</t>
  </si>
  <si>
    <t>fff) Compactor, Hand Towed   (Upto 200 Kg)</t>
  </si>
  <si>
    <t>ggg) Compactor, Hand Towed   (350 to 450 Kg)</t>
  </si>
  <si>
    <t>hhh) Welking, Arc   (10 to 30 KVA)</t>
  </si>
  <si>
    <t>Road furniture/goods/other materials from DoR</t>
  </si>
  <si>
    <t>It is a single component white liquid acrylic polymer admixture for water proofing, cementitious coating in slurry form as well as cement mortar form. It is to be mixed with cement/mortar for excellent water proof coating.</t>
  </si>
  <si>
    <t>sq.ft</t>
  </si>
  <si>
    <t>OPAL – GUARD</t>
  </si>
  <si>
    <t>!%) dL=dL=5]:sLgL</t>
  </si>
  <si>
    <t>#))dL=dL= 5]:sLgL</t>
  </si>
  <si>
    <t>Xofl8n</t>
  </si>
  <si>
    <t>It is a polymer, based on styrene-butadiene rubber, specially formulated for use with cement formulations. Highly recommended for structural rehabilitation, concrete repair etc.</t>
  </si>
  <si>
    <t>OPAL – SEAL</t>
  </si>
  <si>
    <t>An excellent admixture for water proofing sunken portions in buildings such as bath rooms, terraces etc.</t>
  </si>
  <si>
    <t>OPAL – FEX</t>
  </si>
  <si>
    <t xml:space="preserve"> -s_ # dL =dL  </t>
  </si>
  <si>
    <t xml:space="preserve"> -v_ ^ dL =dL  </t>
  </si>
  <si>
    <t>Both side lamination Melamined faced (Interiors Grade)MDF</t>
  </si>
  <si>
    <t>Other Hard Board/Sunmica &amp; Formaica)</t>
  </si>
  <si>
    <t xml:space="preserve">kftf </t>
  </si>
  <si>
    <t xml:space="preserve"> -v_ kmf]/dfO{sf </t>
  </si>
  <si>
    <t xml:space="preserve"> -s_ # dL=dL= </t>
  </si>
  <si>
    <t xml:space="preserve">j=lkm= </t>
  </si>
  <si>
    <t xml:space="preserve"> -v_ $ dL=dL=</t>
  </si>
  <si>
    <t xml:space="preserve"> -u_ % dL=dL=   Æ        </t>
  </si>
  <si>
    <t xml:space="preserve"> -3_ ^ dL=dL=   Æ  </t>
  </si>
  <si>
    <t>husf] vf8ndf 9'+uf eg]{ / n]en ug]{ sfd</t>
  </si>
  <si>
    <t xml:space="preserve"> HofdL</t>
  </si>
  <si>
    <t>v;|f] afn'jf vf]nfsf]</t>
  </si>
  <si>
    <t>cu|fv sf7</t>
  </si>
  <si>
    <t>k]r lsnf</t>
  </si>
  <si>
    <t>7f8f] O{+6f -!M^_ l;=af=df 5fKg] sfd =======================================================================</t>
  </si>
  <si>
    <t>^ dL=dL= KnfOp8</t>
  </si>
  <si>
    <t>kmn]s -hfd'g_</t>
  </si>
  <si>
    <r>
      <t xml:space="preserve"> -~_ -#)</t>
    </r>
    <r>
      <rPr>
        <sz val="12"/>
        <rFont val="Times New Roman"/>
        <family val="1"/>
      </rPr>
      <t>×</t>
    </r>
    <r>
      <rPr>
        <sz val="12"/>
        <rFont val="Preeti"/>
      </rPr>
      <t xml:space="preserve">#)_ ;]=ld= </t>
    </r>
  </si>
  <si>
    <r>
      <t xml:space="preserve"> 6_ -#)</t>
    </r>
    <r>
      <rPr>
        <sz val="12"/>
        <rFont val="Times New Roman"/>
        <family val="1"/>
      </rPr>
      <t>×</t>
    </r>
    <r>
      <rPr>
        <sz val="12"/>
        <rFont val="Preeti"/>
      </rPr>
      <t xml:space="preserve">^)_ ;]=ld    </t>
    </r>
  </si>
  <si>
    <r>
      <t xml:space="preserve"> 7_ -^)</t>
    </r>
    <r>
      <rPr>
        <sz val="12"/>
        <rFont val="Times New Roman"/>
        <family val="1"/>
      </rPr>
      <t>×</t>
    </r>
    <r>
      <rPr>
        <sz val="12"/>
        <rFont val="Preeti"/>
      </rPr>
      <t xml:space="preserve">^)_ ;]=ld   </t>
    </r>
  </si>
  <si>
    <t>b'O{ sf]6 Knfli6s O{dNzg k]G6 nufpg] sfd -k|fOd/ ;lxt_ ====================================</t>
  </si>
  <si>
    <t>c:t/ jfx]s b'O{ sf]6 Pk]S; k]G6 -j]b/ sf]6_ ug]{ sfd ==============================================</t>
  </si>
  <si>
    <t xml:space="preserve">A)   Rheobuild sp -1  :High range water reducing superplsticsizer for concrete  </t>
  </si>
  <si>
    <t>B)   Rheobuild sp -1i : High range water reducing &amp; retarding superplastisizer for ready mix concrete</t>
  </si>
  <si>
    <t>C)   Rheobuild sp -1100  High performance , range water reducing superplastisizer:</t>
  </si>
  <si>
    <t xml:space="preserve">OPAL -  KREET </t>
  </si>
  <si>
    <t xml:space="preserve">Fixing of glazed shutter in 38x75 mm thick sal wood frame with 6mm thick  plain glass fitting including all necessary hardware fittings all complete. </t>
  </si>
  <si>
    <t>Fixing of glazed shutter in 38x75 mm thick sal wood frame with 6mm thick  plain glass.</t>
  </si>
  <si>
    <t>Making and fitting flush door shutter of 38 x 100 mm size sal wood frame with 4 mm thick commercial plywood on both side including all necessary hardware fitting all complete.</t>
  </si>
  <si>
    <t>UPVC (80x50)mm size sliding white colour window with 5mm glass pannel fixing all complete ………………………………………..</t>
  </si>
  <si>
    <t>UPVC (60x60)mm size white colour casement window with 5mm glass pannel fixing all complete ……………………………………………</t>
  </si>
  <si>
    <t>UPVC (100x60)mm,9mm th. Board and 5 mm th glass white color doors with necessary accessories all complete; ………………………</t>
  </si>
  <si>
    <t>p_)=() ld=ld df]6fO{sf</t>
  </si>
  <si>
    <t>PNd'lgod Kn]g l;6</t>
  </si>
  <si>
    <t xml:space="preserve"> -s_ @^ u]h </t>
  </si>
  <si>
    <t>j=lkm=</t>
  </si>
  <si>
    <t xml:space="preserve"> -v_ #) u]h </t>
  </si>
  <si>
    <t>-v_ jfn'jf rfNg] hfnL</t>
  </si>
  <si>
    <t xml:space="preserve">-3_ a|f; qml;Ë hfnL </t>
  </si>
  <si>
    <t>kmnfdaf6 lgld{t ;fdfgx?</t>
  </si>
  <si>
    <t xml:space="preserve">s]=hL  </t>
  </si>
  <si>
    <t xml:space="preserve">Uff]6f </t>
  </si>
  <si>
    <t>;]6</t>
  </si>
  <si>
    <t>/=lkm=</t>
  </si>
  <si>
    <r>
      <t xml:space="preserve">-3_ l;d]G6 k]G6 </t>
    </r>
    <r>
      <rPr>
        <sz val="12"/>
        <rFont val="Times New Roman"/>
        <family val="1"/>
      </rPr>
      <t>(Cement Paints)</t>
    </r>
  </si>
  <si>
    <r>
      <t xml:space="preserve">5_ p8 k|fOd/ </t>
    </r>
    <r>
      <rPr>
        <sz val="12"/>
        <rFont val="Times New Roman"/>
        <family val="1"/>
      </rPr>
      <t>(Wood Primer)</t>
    </r>
  </si>
  <si>
    <r>
      <t xml:space="preserve">-h_ sf]?u]6]8 ?km </t>
    </r>
    <r>
      <rPr>
        <sz val="12"/>
        <rFont val="Times New Roman"/>
        <family val="1"/>
      </rPr>
      <t>Paint</t>
    </r>
  </si>
  <si>
    <r>
      <t xml:space="preserve">-w_ /]8 cs;fO8 k]G6 </t>
    </r>
    <r>
      <rPr>
        <sz val="12"/>
        <rFont val="Times New Roman"/>
        <family val="1"/>
      </rPr>
      <t>(Red oxide Paint)</t>
    </r>
  </si>
  <si>
    <r>
      <t xml:space="preserve"> -k_ </t>
    </r>
    <r>
      <rPr>
        <sz val="12"/>
        <rFont val="Times New Roman"/>
        <family val="1"/>
      </rPr>
      <t>Black Span Paint</t>
    </r>
  </si>
  <si>
    <r>
      <t xml:space="preserve">-/_ </t>
    </r>
    <r>
      <rPr>
        <sz val="12"/>
        <rFont val="Times New Roman"/>
        <family val="1"/>
      </rPr>
      <t>Road Marking Paint</t>
    </r>
  </si>
  <si>
    <r>
      <t xml:space="preserve">-n_ lngl;8 cfon </t>
    </r>
    <r>
      <rPr>
        <sz val="12"/>
        <rFont val="Times New Roman"/>
        <family val="1"/>
      </rPr>
      <t>(linsed Oil)</t>
    </r>
  </si>
  <si>
    <r>
      <t xml:space="preserve">-if_ </t>
    </r>
    <r>
      <rPr>
        <sz val="12"/>
        <rFont val="Times New Roman"/>
        <family val="1"/>
      </rPr>
      <t>Tata Red Oxide Paint</t>
    </r>
  </si>
  <si>
    <r>
      <t xml:space="preserve"> -If_ </t>
    </r>
    <r>
      <rPr>
        <sz val="14"/>
        <rFont val="Times New Roman"/>
        <family val="1"/>
      </rPr>
      <t>White putty</t>
    </r>
  </si>
  <si>
    <r>
      <t xml:space="preserve"> </t>
    </r>
    <r>
      <rPr>
        <sz val="14"/>
        <rFont val="Preeti"/>
      </rPr>
      <t>-q_</t>
    </r>
    <r>
      <rPr>
        <sz val="12"/>
        <rFont val="Times New Roman"/>
        <family val="1"/>
      </rPr>
      <t xml:space="preserve"> Plaster of Parish (POP) </t>
    </r>
  </si>
  <si>
    <r>
      <t xml:space="preserve"> </t>
    </r>
    <r>
      <rPr>
        <sz val="12"/>
        <rFont val="Times New Roman"/>
        <family val="1"/>
      </rPr>
      <t>M 20</t>
    </r>
  </si>
  <si>
    <r>
      <t xml:space="preserve"> </t>
    </r>
    <r>
      <rPr>
        <sz val="12"/>
        <rFont val="Times New Roman"/>
        <family val="1"/>
      </rPr>
      <t>Transportation and pouring of Premix Concrete upto10 km and 5</t>
    </r>
    <r>
      <rPr>
        <vertAlign val="superscript"/>
        <sz val="12"/>
        <rFont val="Times New Roman"/>
        <family val="1"/>
      </rPr>
      <t>th</t>
    </r>
    <r>
      <rPr>
        <sz val="12"/>
        <rFont val="Times New Roman"/>
        <family val="1"/>
      </rPr>
      <t xml:space="preserve"> floors</t>
    </r>
  </si>
  <si>
    <r>
      <t xml:space="preserve">Thai gypsum board </t>
    </r>
    <r>
      <rPr>
        <b/>
        <sz val="14"/>
        <rFont val="Preeti"/>
      </rPr>
      <t xml:space="preserve">af6 pTkfbg ePsf] ;fdfgx? </t>
    </r>
  </si>
  <si>
    <r>
      <t xml:space="preserve">i) </t>
    </r>
    <r>
      <rPr>
        <sz val="14"/>
        <rFont val="Preeti"/>
      </rPr>
      <t>kmN; l;lnË ug{}</t>
    </r>
  </si>
  <si>
    <r>
      <t>I</t>
    </r>
    <r>
      <rPr>
        <b/>
        <sz val="11"/>
        <rFont val="Arial"/>
        <family val="2"/>
      </rPr>
      <t>nterlocking Cement Concrete Block</t>
    </r>
  </si>
  <si>
    <t>6 mm thick Flex-O- Board (Water proof cement board) 6mm thick for false ceiling</t>
  </si>
  <si>
    <t>Supplying and fitting Ready made Teak wood Doors,ordinary (Seasoned and Poisoned treated ,one side teak and other side water proof ply fitting)  with all neccessary hardware all complete. ……………………………</t>
  </si>
  <si>
    <t>Supplying and fitting Ready made Teak wood Doors,special (Seasoned and Poisoned treated ,one side teak and other side water proof ply fitting)  with all neccessary hardware all complete. …………………………………</t>
  </si>
  <si>
    <t>d]=^=</t>
  </si>
  <si>
    <t>!% dL=dL= b]lv !%) dL=dL= 6'qmf O{6fn] eg]{ sfd .</t>
  </si>
  <si>
    <t>h:tfkftfsf] 5fgf eTsfpg] sfd =============================================================================</t>
  </si>
  <si>
    <t>!( dL=dL= KnfO{sf] kmdf{ nufpg] sfd -ljddf_ ===========================================================</t>
  </si>
  <si>
    <t xml:space="preserve"> Æ</t>
  </si>
  <si>
    <r>
      <t xml:space="preserve">!) </t>
    </r>
    <r>
      <rPr>
        <sz val="10"/>
        <rFont val="Arial"/>
        <family val="2"/>
      </rPr>
      <t>SWG</t>
    </r>
    <r>
      <rPr>
        <sz val="14"/>
        <rFont val="Arial"/>
        <family val="2"/>
      </rPr>
      <t xml:space="preserve"> </t>
    </r>
    <r>
      <rPr>
        <sz val="14"/>
        <rFont val="Preeti"/>
      </rPr>
      <t xml:space="preserve">sf] </t>
    </r>
    <r>
      <rPr>
        <sz val="9"/>
        <rFont val="Arial"/>
        <family val="2"/>
      </rPr>
      <t xml:space="preserve">G.I. Chain Link </t>
    </r>
    <r>
      <rPr>
        <sz val="14"/>
        <rFont val="Preeti"/>
      </rPr>
      <t>@Æ</t>
    </r>
    <r>
      <rPr>
        <sz val="10"/>
        <rFont val="Arial"/>
        <family val="2"/>
      </rPr>
      <t>x</t>
    </r>
    <r>
      <rPr>
        <sz val="14"/>
        <rFont val="Preeti"/>
      </rPr>
      <t>@Æ dL=dL= d]; ;fO{hsf] km]lG;Ë ug]{ sfd =======================================================================</t>
    </r>
  </si>
  <si>
    <t xml:space="preserve">Supplying and laying Sisam wood wall panelling on wall(with wood frame) polishing all complete(75mm*16mm) </t>
  </si>
  <si>
    <r>
      <t xml:space="preserve">#* </t>
    </r>
    <r>
      <rPr>
        <sz val="10"/>
        <rFont val="Arial"/>
        <family val="2"/>
      </rPr>
      <t>X</t>
    </r>
    <r>
      <rPr>
        <sz val="14"/>
        <rFont val="Arial"/>
        <family val="2"/>
      </rPr>
      <t xml:space="preserve">  </t>
    </r>
    <r>
      <rPr>
        <sz val="14"/>
        <rFont val="Preeti"/>
      </rPr>
      <t>!)) dL=dL= ;fn sf7sf] k|m]dsf] Kofgnx?df * dL=dL=sf] sdl;{on KnfO{p8 /fvL Psftkm{ $ dL=dL= l6sKnfO{p8 n]ldg]6 u/L KnfO{sf] l8nfvfkf agfO{ h8fg ug]{ . ============================================</t>
    </r>
  </si>
  <si>
    <r>
      <t xml:space="preserve">#* </t>
    </r>
    <r>
      <rPr>
        <sz val="10"/>
        <rFont val="Arial"/>
        <family val="2"/>
      </rPr>
      <t>X</t>
    </r>
    <r>
      <rPr>
        <sz val="14"/>
        <rFont val="Arial"/>
        <family val="2"/>
      </rPr>
      <t xml:space="preserve">  </t>
    </r>
    <r>
      <rPr>
        <sz val="14"/>
        <rFont val="Preeti"/>
      </rPr>
      <t>!)) dL=dL= ;fn sf7sf] k|m]dsf] Kofgnx?df * dL=dL=sf] sdl;{on KnfO{p8 /fvL b'a}tkm{ $ dL=dL= l6sKnfO{p8 n]ldg]6 u/L KnfO{sf] l8nfvfkf agfO{ h8fg ug]{ . =============================================</t>
    </r>
  </si>
  <si>
    <t xml:space="preserve">Supplying and laying Teak wood Parqueting on floor polishing all complete(150mm*30mm*8mm) </t>
  </si>
  <si>
    <t xml:space="preserve">Supplying and fitting Ready made Teak wood Doors,ordinary (Seasoned and Poisoned treated ,one side teak and other side water proof ply fitting)  with all neccessary hardware all complete. </t>
  </si>
  <si>
    <t xml:space="preserve">Supplying and fitting Ready made Teak wood Doors,special (Seasoned and Poisoned treated ,one side teak and other side water proof ply fitting)  with all neccessary hardware all complete. </t>
  </si>
  <si>
    <t>Carbon Fibre UPVC Roofing Sheet including the cost of material and labour  fitting, fixing, all complete job (2mm Thick) .</t>
  </si>
  <si>
    <t xml:space="preserve">Carbon Fibre UPVC Roofing Sheet including the cost of material and labour  fitting, fixing, all complete job (3mm Thick) </t>
  </si>
  <si>
    <t xml:space="preserve">UPVC (60x60)mm size white colour swing door with 5mm glass pannel fixing all complete; </t>
  </si>
  <si>
    <t xml:space="preserve">Supplying and fixing of (80x50) mm th. White color casement windows(double glazing glass), etc all complete. </t>
  </si>
  <si>
    <t xml:space="preserve">UPVC (60x60)mm size,9mm th.  white colour partition board /5mm glass pannel fixing all complete </t>
  </si>
  <si>
    <t xml:space="preserve">UPVC (100x60)mm,9mm th. Board and 5 mm th glass white color doors with necessary accessories all complete; </t>
  </si>
  <si>
    <t xml:space="preserve">UPVC (60x60)mm size white colour casement window with 5mm glass pannel fixing all complete </t>
  </si>
  <si>
    <t xml:space="preserve">UPVC (80x50)mm size sliding white colour window with 5mm glass pannel fixing all complete </t>
  </si>
  <si>
    <r>
      <t xml:space="preserve"> -u_ ljleGg ;fOhsf] </t>
    </r>
    <r>
      <rPr>
        <b/>
        <sz val="14"/>
        <rFont val="Times New Roman"/>
        <family val="1"/>
      </rPr>
      <t>Torcaree</t>
    </r>
  </si>
  <si>
    <r>
      <t xml:space="preserve"> -3_ </t>
    </r>
    <r>
      <rPr>
        <b/>
        <sz val="14"/>
        <rFont val="Times New Roman"/>
        <family val="1"/>
      </rPr>
      <t xml:space="preserve">Binding Wire </t>
    </r>
    <r>
      <rPr>
        <b/>
        <sz val="14"/>
        <rFont val="Preeti"/>
      </rPr>
      <t>-808L afFWg]tf/_</t>
    </r>
  </si>
  <si>
    <r>
      <t>ii)</t>
    </r>
    <r>
      <rPr>
        <sz val="12"/>
        <rFont val="Preeti"/>
      </rPr>
      <t xml:space="preserve"> ljleGg ;fOhsf]</t>
    </r>
    <r>
      <rPr>
        <sz val="12"/>
        <rFont val="Times New Roman"/>
        <family val="1"/>
      </rPr>
      <t xml:space="preserve"> MS Angle</t>
    </r>
  </si>
  <si>
    <r>
      <t xml:space="preserve">iii) </t>
    </r>
    <r>
      <rPr>
        <sz val="12"/>
        <rFont val="Preeti"/>
      </rPr>
      <t>ljleGg ;fOhsf]</t>
    </r>
    <r>
      <rPr>
        <sz val="12"/>
        <rFont val="Times New Roman"/>
        <family val="1"/>
      </rPr>
      <t xml:space="preserve"> Black Pipe</t>
    </r>
  </si>
  <si>
    <r>
      <t xml:space="preserve">iv) </t>
    </r>
    <r>
      <rPr>
        <sz val="12"/>
        <rFont val="Preeti"/>
      </rPr>
      <t xml:space="preserve">ljleGg ;fOhsf] </t>
    </r>
    <r>
      <rPr>
        <sz val="12"/>
        <rFont val="Times New Roman"/>
        <family val="1"/>
      </rPr>
      <t>Channel</t>
    </r>
  </si>
  <si>
    <r>
      <t xml:space="preserve">v) </t>
    </r>
    <r>
      <rPr>
        <sz val="12"/>
        <rFont val="Preeti"/>
      </rPr>
      <t>ljleGg ;fOhsf]</t>
    </r>
    <r>
      <rPr>
        <sz val="12"/>
        <rFont val="Times New Roman"/>
        <family val="1"/>
      </rPr>
      <t xml:space="preserve"> I-Beam</t>
    </r>
  </si>
  <si>
    <r>
      <t xml:space="preserve">vi) </t>
    </r>
    <r>
      <rPr>
        <sz val="12"/>
        <rFont val="Preeti"/>
      </rPr>
      <t>ljleGg ;fOhsf]</t>
    </r>
    <r>
      <rPr>
        <sz val="12"/>
        <rFont val="Times New Roman"/>
        <family val="1"/>
      </rPr>
      <t xml:space="preserve"> MS plate </t>
    </r>
  </si>
  <si>
    <r>
      <t xml:space="preserve">vii) </t>
    </r>
    <r>
      <rPr>
        <sz val="12"/>
        <rFont val="Preeti"/>
      </rPr>
      <t>ljleGg ;fOhsf]</t>
    </r>
    <r>
      <rPr>
        <sz val="12"/>
        <rFont val="Times New Roman"/>
        <family val="1"/>
      </rPr>
      <t xml:space="preserve"> MS Square solid bar up to 16mm</t>
    </r>
  </si>
  <si>
    <r>
      <t xml:space="preserve">viii) </t>
    </r>
    <r>
      <rPr>
        <sz val="12"/>
        <rFont val="Preeti"/>
      </rPr>
      <t>ljleGg df]6fOsf]</t>
    </r>
    <r>
      <rPr>
        <sz val="12"/>
        <rFont val="Times New Roman"/>
        <family val="1"/>
      </rPr>
      <t xml:space="preserve"> Black sheet</t>
    </r>
  </si>
  <si>
    <r>
      <t>Barbed Wire</t>
    </r>
    <r>
      <rPr>
        <b/>
        <sz val="14"/>
        <rFont val="Preeti"/>
      </rPr>
      <t xml:space="preserve"> -sfF9]tf/_</t>
    </r>
  </si>
  <si>
    <r>
      <t>a</t>
    </r>
    <r>
      <rPr>
        <sz val="14"/>
        <rFont val="Preeti"/>
      </rPr>
      <t>_</t>
    </r>
    <r>
      <rPr>
        <sz val="12"/>
        <rFont val="Times New Roman"/>
        <family val="1"/>
      </rPr>
      <t xml:space="preserve"> 12 guage commercial ,Medium duty  </t>
    </r>
  </si>
  <si>
    <r>
      <t xml:space="preserve"> ;fbf tyf /+lug h:tf kftf </t>
    </r>
    <r>
      <rPr>
        <b/>
        <sz val="14"/>
        <rFont val="Times New Roman"/>
        <family val="1"/>
      </rPr>
      <t>(Plain/Corrugated Galvanized/Colour Iron Sheet)</t>
    </r>
  </si>
  <si>
    <r>
      <t xml:space="preserve"> -s_ ;]tf] ;fbf  h:tfkftf </t>
    </r>
    <r>
      <rPr>
        <b/>
        <sz val="14"/>
        <rFont val="Times New Roman"/>
        <family val="1"/>
      </rPr>
      <t>(G P Sheet)</t>
    </r>
  </si>
  <si>
    <r>
      <t>a)</t>
    </r>
    <r>
      <rPr>
        <sz val="14"/>
        <rFont val="Times New Roman"/>
        <family val="1"/>
      </rPr>
      <t xml:space="preserve"> </t>
    </r>
    <r>
      <rPr>
        <sz val="13"/>
        <rFont val="Times New Roman"/>
        <family val="1"/>
      </rPr>
      <t>30</t>
    </r>
    <r>
      <rPr>
        <sz val="14"/>
        <rFont val="Preeti"/>
      </rPr>
      <t xml:space="preserve"> u]h</t>
    </r>
    <r>
      <rPr>
        <sz val="14"/>
        <rFont val="Times New Roman"/>
        <family val="1"/>
      </rPr>
      <t xml:space="preserve"> </t>
    </r>
    <r>
      <rPr>
        <sz val="12"/>
        <rFont val="Times New Roman"/>
        <family val="1"/>
      </rPr>
      <t>Light (0.2 mm)</t>
    </r>
  </si>
  <si>
    <r>
      <t>b) 30</t>
    </r>
    <r>
      <rPr>
        <sz val="14"/>
        <rFont val="Preeti"/>
      </rPr>
      <t xml:space="preserve"> u]h</t>
    </r>
    <r>
      <rPr>
        <sz val="11"/>
        <rFont val="Times New Roman"/>
        <family val="1"/>
      </rPr>
      <t xml:space="preserve"> Medium</t>
    </r>
    <r>
      <rPr>
        <sz val="12"/>
        <rFont val="Times New Roman"/>
        <family val="1"/>
      </rPr>
      <t xml:space="preserve"> (0.22 mm)</t>
    </r>
    <r>
      <rPr>
        <sz val="14"/>
        <rFont val="Times New Roman"/>
        <family val="1"/>
      </rPr>
      <t xml:space="preserve">  </t>
    </r>
  </si>
  <si>
    <r>
      <t>c) 30</t>
    </r>
    <r>
      <rPr>
        <sz val="14"/>
        <rFont val="Preeti"/>
      </rPr>
      <t xml:space="preserve"> u]h</t>
    </r>
    <r>
      <rPr>
        <sz val="14"/>
        <rFont val="Times New Roman"/>
        <family val="1"/>
      </rPr>
      <t xml:space="preserve"> </t>
    </r>
    <r>
      <rPr>
        <sz val="12"/>
        <rFont val="Times New Roman"/>
        <family val="1"/>
      </rPr>
      <t>Heavy (0.24 mm)</t>
    </r>
    <r>
      <rPr>
        <sz val="14"/>
        <rFont val="Times New Roman"/>
        <family val="1"/>
      </rPr>
      <t xml:space="preserve">  </t>
    </r>
  </si>
  <si>
    <t xml:space="preserve">Chrome plated Towel Rod 15mm dia x450mm long American Standard  with necessary accessories </t>
  </si>
  <si>
    <t>Chrome plated 15mm dia x600mm long heavy quality towel rod</t>
  </si>
  <si>
    <t>C p 15mm dia x600mm long heavy quality towel rod.</t>
  </si>
  <si>
    <t>!=@ dL=dL= kmfO{j/ Unf; zL6n] 5fgf 5fpg] sfd =======================================================================</t>
  </si>
  <si>
    <t>10 dL=dL= /f]*f</t>
  </si>
  <si>
    <t>sf7df kmdf{ agfpg] sfd, dfn;fdfgsf] pknlAw, 5gf}6 ug]{, gS;f cg';f/ kmdf{ /fVg]</t>
  </si>
  <si>
    <t>lsnf / cGt/ nufpg] kmdf{ lemSg], x6fpg] #) ld6/;Dd 9'jfgL ;lxt</t>
  </si>
  <si>
    <t>kmz{ / :n]j h:tf sfd</t>
  </si>
  <si>
    <t>lsnf</t>
  </si>
  <si>
    <t>;]tf] l;d]G6</t>
  </si>
  <si>
    <t>-cShflns_ P;L8</t>
  </si>
  <si>
    <t>d}g kflnz</t>
  </si>
  <si>
    <t>tf/k]G6fOg</t>
  </si>
  <si>
    <t>ud cflb</t>
  </si>
  <si>
    <t>gofF ;km]{;df XjfO{6jf; b'O{sf]6 ug]{ sfd -cGoq_</t>
  </si>
  <si>
    <t>gofF l;lnË ;km]{;df XjfO{6jf; tLgsf]6 ug]{ sfd .</t>
  </si>
  <si>
    <r>
      <t>Slope, flat roof,</t>
    </r>
    <r>
      <rPr>
        <b/>
        <sz val="14"/>
        <rFont val="Preeti"/>
      </rPr>
      <t xml:space="preserve"> </t>
    </r>
    <r>
      <rPr>
        <b/>
        <sz val="14"/>
        <rFont val="Times New Roman"/>
        <family val="1"/>
      </rPr>
      <t>sunken slab</t>
    </r>
    <r>
      <rPr>
        <b/>
        <sz val="14"/>
        <rFont val="Preeti"/>
      </rPr>
      <t xml:space="preserve"> / </t>
    </r>
    <r>
      <rPr>
        <b/>
        <sz val="14"/>
        <rFont val="Times New Roman"/>
        <family val="1"/>
      </rPr>
      <t>basement</t>
    </r>
    <r>
      <rPr>
        <b/>
        <sz val="14"/>
        <rFont val="Preeti"/>
      </rPr>
      <t xml:space="preserve"> df kfgL r'x]sf] :yfgdf </t>
    </r>
    <r>
      <rPr>
        <b/>
        <sz val="14"/>
        <rFont val="Times New Roman"/>
        <family val="1"/>
      </rPr>
      <t>Perma Construction Co</t>
    </r>
    <r>
      <rPr>
        <b/>
        <sz val="14"/>
        <rFont val="Preeti"/>
      </rPr>
      <t xml:space="preserve"> – af6 pTkflbt lgdf{0f ;fdfu|Lx?</t>
    </r>
  </si>
  <si>
    <r>
      <t xml:space="preserve">Water proofing treatment by </t>
    </r>
    <r>
      <rPr>
        <b/>
        <sz val="12"/>
        <rFont val="Times New Roman"/>
        <family val="1"/>
      </rPr>
      <t>Injection and Pressure Grouting System</t>
    </r>
    <r>
      <rPr>
        <sz val="12"/>
        <rFont val="Times New Roman"/>
        <family val="1"/>
      </rPr>
      <t xml:space="preserve"> using perma Grout 500 with mixing fresh gray cement slurry all complete. (slope roof, sunk slab, basement )</t>
    </r>
  </si>
  <si>
    <r>
      <t xml:space="preserve">Water proofing treatment by Perma Guard coating </t>
    </r>
    <r>
      <rPr>
        <b/>
        <sz val="12"/>
        <rFont val="Times New Roman"/>
        <family val="1"/>
      </rPr>
      <t>(Elastomoric Polymer Coating)</t>
    </r>
    <r>
      <rPr>
        <sz val="12"/>
        <rFont val="Times New Roman"/>
        <family val="1"/>
      </rPr>
      <t xml:space="preserve"> all complete. (roof top, sunken slab, basement, terrace)</t>
    </r>
  </si>
  <si>
    <r>
      <t xml:space="preserve">Water proofing treatment by using perma </t>
    </r>
    <r>
      <rPr>
        <b/>
        <sz val="12"/>
        <rFont val="Times New Roman"/>
        <family val="1"/>
      </rPr>
      <t>Shield</t>
    </r>
    <r>
      <rPr>
        <sz val="12"/>
        <rFont val="Times New Roman"/>
        <family val="1"/>
      </rPr>
      <t xml:space="preserve"> / AR coating ( </t>
    </r>
    <r>
      <rPr>
        <b/>
        <sz val="12"/>
        <rFont val="Times New Roman"/>
        <family val="1"/>
      </rPr>
      <t>Semi Flexible Polymer Coating</t>
    </r>
    <r>
      <rPr>
        <sz val="12"/>
        <rFont val="Times New Roman"/>
        <family val="1"/>
      </rPr>
      <t xml:space="preserve"> </t>
    </r>
    <r>
      <rPr>
        <b/>
        <sz val="12"/>
        <rFont val="Times New Roman"/>
        <family val="1"/>
      </rPr>
      <t>System</t>
    </r>
    <r>
      <rPr>
        <sz val="12"/>
        <rFont val="Times New Roman"/>
        <family val="1"/>
      </rPr>
      <t>) all Complete (roof top, sunk slab, basement)</t>
    </r>
  </si>
  <si>
    <r>
      <t xml:space="preserve">Waterproofing treatment by </t>
    </r>
    <r>
      <rPr>
        <b/>
        <sz val="12"/>
        <rFont val="Times New Roman"/>
        <family val="1"/>
      </rPr>
      <t>Crystallization</t>
    </r>
    <r>
      <rPr>
        <sz val="12"/>
        <rFont val="Times New Roman"/>
        <family val="1"/>
      </rPr>
      <t xml:space="preserve"> Process by applying two coats of perma Seal all complete. (watertank basement)</t>
    </r>
  </si>
  <si>
    <r>
      <t xml:space="preserve">Major  crack treatment on Rcc slab by </t>
    </r>
    <r>
      <rPr>
        <b/>
        <sz val="12"/>
        <rFont val="Times New Roman"/>
        <family val="1"/>
      </rPr>
      <t>Perma Polyseal</t>
    </r>
  </si>
  <si>
    <t xml:space="preserve"> kmnfd] lu|n agfO{ vfS;L nufO{ /]8cS;fO8 k]G6 ;d]t u/L hf]8\g]</t>
  </si>
  <si>
    <t>kmnfd] lu|n agfO{</t>
  </si>
  <si>
    <t>b/ ljZn]if0fsf] nflu !) s]=hL= lnOPsf]</t>
  </si>
  <si>
    <t xml:space="preserve">kmnfd] lu|n agfO{ hf]*g]   </t>
  </si>
  <si>
    <t>b/ k|lt s]=hL=sf]</t>
  </si>
  <si>
    <r>
      <t xml:space="preserve"> $$_ </t>
    </r>
    <r>
      <rPr>
        <sz val="12"/>
        <rFont val="Times New Roman"/>
        <family val="1"/>
      </rPr>
      <t>Lime for traditional work</t>
    </r>
  </si>
  <si>
    <t>kmnfd] u]^ 16 u]h -h*Fg ;d]t_</t>
  </si>
  <si>
    <t>vii) Aluminium sliding windows of section (101 x45 x1.5)</t>
  </si>
  <si>
    <t>ii) Aluminium sliding window with fixed panels without fly mesh shutter of section (88 x38.1x1.3)</t>
  </si>
  <si>
    <t>i) Aluminium fix panel at sliding windows of section with flymesh (88 x38.1x1.3)</t>
  </si>
  <si>
    <t>iii) Aluminium sliding door of section (101 x45x1.5)</t>
  </si>
  <si>
    <t>v) Aluminium casement door of section (101 x45 x1.5)</t>
  </si>
  <si>
    <t>vi) Aluminium swing door of section (101x45x1.5)</t>
  </si>
  <si>
    <r>
      <t xml:space="preserve"> </t>
    </r>
    <r>
      <rPr>
        <b/>
        <sz val="12"/>
        <rFont val="Preeti"/>
      </rPr>
      <t>ljleGg ;fOhsf]</t>
    </r>
    <r>
      <rPr>
        <b/>
        <sz val="12"/>
        <rFont val="Times New Roman"/>
        <family val="1"/>
      </rPr>
      <t xml:space="preserve"> MS Square solid bar up to 16mm</t>
    </r>
  </si>
  <si>
    <t>e) Curb stone M-30 grade.(45*38*15cm/piece)</t>
  </si>
  <si>
    <r>
      <t xml:space="preserve"> </t>
    </r>
    <r>
      <rPr>
        <sz val="12"/>
        <rFont val="Preeti"/>
      </rPr>
      <t>ljleGg ;fOhsf]</t>
    </r>
    <r>
      <rPr>
        <sz val="12"/>
        <rFont val="Times New Roman"/>
        <family val="1"/>
      </rPr>
      <t xml:space="preserve"> MS plate </t>
    </r>
  </si>
  <si>
    <t>It is a super plasticizer for concrete. It is a high range water reducing admixture for concrete. It is based on sulphonated naphthalene formaldehyde and is used for reducing the water to cement ratio, increasing compressive strength &amp; producing free flow</t>
  </si>
  <si>
    <t>OPAL – RETARDPLAST</t>
  </si>
  <si>
    <r>
      <t xml:space="preserve">c_ )=%) ld=ld df]6fO{sf </t>
    </r>
    <r>
      <rPr>
        <sz val="12"/>
        <rFont val="Times New Roman"/>
        <family val="1"/>
      </rPr>
      <t>(12.05 Kg</t>
    </r>
    <r>
      <rPr>
        <sz val="14"/>
        <rFont val="Times New Roman"/>
        <family val="1"/>
      </rPr>
      <t>.)</t>
    </r>
  </si>
  <si>
    <r>
      <t xml:space="preserve">$ lkm6 </t>
    </r>
    <r>
      <rPr>
        <b/>
        <sz val="14"/>
        <rFont val="Times New Roman"/>
        <family val="1"/>
      </rPr>
      <t xml:space="preserve">* </t>
    </r>
    <r>
      <rPr>
        <b/>
        <sz val="14"/>
        <rFont val="Preeti"/>
      </rPr>
      <t xml:space="preserve">* lkm6 sf] /lËg Kn]g l;6 </t>
    </r>
  </si>
  <si>
    <r>
      <t xml:space="preserve"> -u_ </t>
    </r>
    <r>
      <rPr>
        <sz val="12"/>
        <rFont val="Times New Roman"/>
        <family val="1"/>
      </rPr>
      <t xml:space="preserve"> 3mm thick Aluminium Composite Pannel</t>
    </r>
  </si>
  <si>
    <r>
      <t xml:space="preserve">ljleGg k|sf/sf] hfnLx? </t>
    </r>
    <r>
      <rPr>
        <b/>
        <sz val="12"/>
        <rFont val="Times New Roman"/>
        <family val="1"/>
      </rPr>
      <t xml:space="preserve">(Netting) </t>
    </r>
  </si>
  <si>
    <r>
      <t xml:space="preserve"> -s_ dl;gf] vfnsf] </t>
    </r>
    <r>
      <rPr>
        <sz val="14"/>
        <rFont val="Times New Roman"/>
        <family val="1"/>
      </rPr>
      <t>Mosquito proof</t>
    </r>
    <r>
      <rPr>
        <sz val="14"/>
        <rFont val="Preeti"/>
      </rPr>
      <t xml:space="preserve"> hfnL</t>
    </r>
  </si>
  <si>
    <r>
      <t xml:space="preserve">-u_ s'v'/] hfnL </t>
    </r>
    <r>
      <rPr>
        <sz val="12"/>
        <rFont val="Times New Roman"/>
        <family val="1"/>
      </rPr>
      <t>(Chicken wire mesh)</t>
    </r>
  </si>
  <si>
    <r>
      <t>a)</t>
    </r>
    <r>
      <rPr>
        <sz val="10"/>
        <rFont val="Preeti"/>
      </rPr>
      <t xml:space="preserve"> </t>
    </r>
    <r>
      <rPr>
        <sz val="10"/>
        <rFont val="Times New Roman"/>
        <family val="1"/>
      </rPr>
      <t xml:space="preserve">M.S. Grill </t>
    </r>
    <r>
      <rPr>
        <sz val="10"/>
        <rFont val="Preeti"/>
      </rPr>
      <t xml:space="preserve">agfO{   h8fg ug]{ sfd </t>
    </r>
  </si>
  <si>
    <r>
      <t xml:space="preserve">b) </t>
    </r>
    <r>
      <rPr>
        <sz val="10"/>
        <rFont val="Preeti"/>
      </rPr>
      <t>sDkfp08 jfn dfyL !Æ</t>
    </r>
    <r>
      <rPr>
        <sz val="10"/>
        <rFont val="Times New Roman"/>
        <family val="1"/>
      </rPr>
      <t>×</t>
    </r>
    <r>
      <rPr>
        <sz val="10"/>
        <rFont val="Preeti"/>
      </rPr>
      <t xml:space="preserve">!Æ sf] kmnfd] PËndf * dL=dL= 808L @Æ </t>
    </r>
    <r>
      <rPr>
        <sz val="10"/>
        <rFont val="Times New Roman"/>
        <family val="1"/>
      </rPr>
      <t>c/c</t>
    </r>
    <r>
      <rPr>
        <sz val="10"/>
        <rFont val="Preeti"/>
      </rPr>
      <t xml:space="preserve"> df /fvL agfpg] sfd</t>
    </r>
  </si>
  <si>
    <r>
      <t xml:space="preserve">c) 1 ½ " Black Pipe </t>
    </r>
    <r>
      <rPr>
        <sz val="10"/>
        <rFont val="Preeti"/>
      </rPr>
      <t>sf6\g] / h8fg ug{} sfd     -nDafO !=@% dL=, sDkfp08 jfn dfly Sofk ;lxtsf] u|Ln h8fg ug{ _</t>
    </r>
  </si>
  <si>
    <r>
      <t>d) </t>
    </r>
    <r>
      <rPr>
        <sz val="12"/>
        <rFont val="Preeti"/>
      </rPr>
      <t>sf]NofK;Lan u]6 agfO{ h8fg ug]{</t>
    </r>
  </si>
  <si>
    <r>
      <t>e) </t>
    </r>
    <r>
      <rPr>
        <sz val="12"/>
        <rFont val="Preeti"/>
      </rPr>
      <t>!</t>
    </r>
    <r>
      <rPr>
        <sz val="12"/>
        <rFont val="Arial"/>
        <family val="2"/>
      </rPr>
      <t xml:space="preserve">" </t>
    </r>
    <r>
      <rPr>
        <sz val="12"/>
        <rFont val="Preeti"/>
      </rPr>
      <t xml:space="preserve">:Sjfo/ kfOk /]lnË agfO{ To;df ;fn  jf l;;f} sf7sf] </t>
    </r>
    <r>
      <rPr>
        <sz val="12"/>
        <rFont val="Times New Roman"/>
        <family val="1"/>
      </rPr>
      <t xml:space="preserve">Hand rail </t>
    </r>
    <r>
      <rPr>
        <sz val="12"/>
        <rFont val="Preeti"/>
      </rPr>
      <t xml:space="preserve">/fvL h8fg ug]{ </t>
    </r>
  </si>
  <si>
    <r>
      <t>f)</t>
    </r>
    <r>
      <rPr>
        <sz val="12"/>
        <rFont val="Preeti"/>
      </rPr>
      <t xml:space="preserve">  P]=P]= t/ sf7sf] </t>
    </r>
    <r>
      <rPr>
        <sz val="12"/>
        <rFont val="Times New Roman"/>
        <family val="1"/>
      </rPr>
      <t xml:space="preserve">hand rail </t>
    </r>
    <r>
      <rPr>
        <sz val="12"/>
        <rFont val="Preeti"/>
      </rPr>
      <t xml:space="preserve">sf] ;§f </t>
    </r>
    <r>
      <rPr>
        <sz val="12"/>
        <rFont val="Times New Roman"/>
        <family val="1"/>
      </rPr>
      <t xml:space="preserve">Black Pipe 1½" </t>
    </r>
    <r>
      <rPr>
        <sz val="12"/>
        <rFont val="Preeti"/>
      </rPr>
      <t xml:space="preserve">sf] </t>
    </r>
    <r>
      <rPr>
        <sz val="12"/>
        <rFont val="Times New Roman"/>
        <family val="1"/>
      </rPr>
      <t>hand rail</t>
    </r>
    <r>
      <rPr>
        <sz val="12"/>
        <rFont val="Preeti"/>
      </rPr>
      <t xml:space="preserve"> /flv h8fg ug]{ sfd</t>
    </r>
  </si>
  <si>
    <r>
      <t>g)</t>
    </r>
    <r>
      <rPr>
        <sz val="12"/>
        <rFont val="Preeti"/>
      </rPr>
      <t xml:space="preserve"> !^–!* u]hsf] kmnfd] /f]lnË ;6/ agfO{ h8fg ug]{ </t>
    </r>
  </si>
  <si>
    <r>
      <t xml:space="preserve">h) </t>
    </r>
    <r>
      <rPr>
        <sz val="12"/>
        <rFont val="Preeti"/>
      </rPr>
      <t xml:space="preserve">kmnfd] /f]lnË ;6/ !^–!* u]h h8fg ;lxt :6«Lk ;6/ Kjfn ePsf] </t>
    </r>
  </si>
  <si>
    <t>Machine made  Brickwork in 1:4 C/S mortar up to ground floor.</t>
  </si>
  <si>
    <r>
      <t xml:space="preserve">kftfsf] 5fgf 5fpg] sfd k'/f . </t>
    </r>
    <r>
      <rPr>
        <sz val="14"/>
        <rFont val="Preeti"/>
      </rPr>
      <t>-)=$% dL=dL=afSnf] _</t>
    </r>
  </si>
  <si>
    <t>k'/fgf] dfj{n ˆnf]/ tyf leQfdf HofdLåf/f dfj{n ;tx cShflns Pl;8 xfnL</t>
  </si>
  <si>
    <t>3f]6\g], ;kmf ug]{ sfo{  .</t>
  </si>
  <si>
    <t xml:space="preserve">Machine made  Brickwork in 1:6 C/S mortar up to ground floor in perfect line level finish including wetting the bricks, racking the joints and curing the work for at least 7 days all complete. </t>
  </si>
  <si>
    <t>Machine made  Brickwork in 1:6 C/S mortar up to ground floor .</t>
  </si>
  <si>
    <t>clV;*fOh/ Pl;* kfp*/ cShflns</t>
  </si>
  <si>
    <t>d}g kfln;</t>
  </si>
  <si>
    <t>tf/k]G^fO{g</t>
  </si>
  <si>
    <t>kln{+u tyf :6«6x?</t>
  </si>
  <si>
    <t>To; dfly ^ dL=dL= ;]tf] l;d]G6 dfj{n lrK; !M! efudf nufO{</t>
  </si>
  <si>
    <t>!!–%</t>
  </si>
  <si>
    <t>lgdf{0f ;fdu|L</t>
  </si>
  <si>
    <t xml:space="preserve">df6f]df hf]8]sf] uf/f] eTsfO{ To;af6 cfPsf] ;fdu|L !) dL=;Dd </t>
  </si>
  <si>
    <t>cf/=l;=l;= jf cf/=lj=l;= sfd eTsfO{ To;af6 cfPsf] ;fdu|L</t>
  </si>
  <si>
    <t>Kn]g l;d]G6 sqmL6 jf jh| s+qmL6 eTsfO{ To;af6 cfPsf] ;fdu|L</t>
  </si>
  <si>
    <t>b/ ljZn]if0fsf] nflu !) J.=dL= lnOPsf]</t>
  </si>
  <si>
    <t>glbsf] afn'jf</t>
  </si>
  <si>
    <t>d]=6</t>
  </si>
  <si>
    <t>3=dL</t>
  </si>
  <si>
    <t>j=dL</t>
  </si>
  <si>
    <t>sf ;fdfg</t>
  </si>
  <si>
    <t>sf ;/;fdfg</t>
  </si>
  <si>
    <t>b/ ljZn]if0fsf] nflu %(=#$ s]=hL= lnOPsf]</t>
  </si>
  <si>
    <t>kmnfd]</t>
  </si>
  <si>
    <t>;;fgf g6 jf]N6;</t>
  </si>
  <si>
    <t>k|fOd/ k]G6</t>
  </si>
  <si>
    <t>b/ ljZn]if0fsf] nflu !*=($ s]=hL= lnOPsf]</t>
  </si>
  <si>
    <t>;j} k|sf/sf]</t>
  </si>
  <si>
    <t>b/ ljZn]if0fsf] nflu @=!!$ j=ld= lnOPsf]</t>
  </si>
  <si>
    <t>!)) dL=dL= sAhf</t>
  </si>
  <si>
    <t>2 coat almunium paint without primer Painting over porperly cleaned surface all complete</t>
  </si>
  <si>
    <t>1 coat Red oxide paint without primer Painting over porperly sanded  surface all complete</t>
  </si>
  <si>
    <t>1 coat Red oxide paint without primer Painting over porperly sanded surface all complete</t>
  </si>
  <si>
    <t>2 coat Red oxide paint without primer Painting over porperly sanded surface all complete</t>
  </si>
  <si>
    <t>Plain cement Concrete (PCC) in 1:4:8 ratio  for foundations, flooring and walls with approved quality of cement and sand and crushed stone aggregate including mixing, laying, curing etc all complete in approval of site engineer.</t>
  </si>
  <si>
    <t>Plain cement Concrete (PCC) in 1:4:8 ratio  for foundations, flooring and walls.</t>
  </si>
  <si>
    <t>Plain cement Concrete (PCC) in 1:3:6 ratio  for foundations, flooring and walls with approved quality of cement and sand and crushed stone aggregate including mixing, laying, curing etc all complete in approval of site engineer.</t>
  </si>
  <si>
    <t>Plain cement Concrete (PCC) in 1:3:6 ratio  for foundations, flooring and walls.</t>
  </si>
  <si>
    <t>Under counter wash basin  with basin mixer  all complete set (European pattern)</t>
  </si>
  <si>
    <t xml:space="preserve"> 6.0 lit electric water heater (Geyser) </t>
  </si>
  <si>
    <t>8mm thick water proof plywood false ceiling with salwood frame</t>
  </si>
  <si>
    <t>White glaze Flat back urinal ,Natasha, all complete set (European pattern) "Cotto"</t>
  </si>
  <si>
    <t>European pattern touch flush for Urinal</t>
  </si>
  <si>
    <t>Construction of 12 cu.m Under ground water tank  tank  all complete work as per drawing and specification.</t>
  </si>
  <si>
    <t>Angle and fabrication work for water tank stand 2000.0 lit</t>
  </si>
  <si>
    <t xml:space="preserve"> Kitchen sink stainless steel 150 cm long  and instruction all complete. Except sink cock</t>
  </si>
  <si>
    <t xml:space="preserve">sfd k'/f !) dL6/;Dd 9'jfgL ;lxt </t>
  </si>
  <si>
    <t>afn'jf</t>
  </si>
  <si>
    <t>Ans :6f]g</t>
  </si>
  <si>
    <t>jG8 :6f]g</t>
  </si>
  <si>
    <t>jf^/ k|'km KnfOp* 19 dL=dL=</t>
  </si>
  <si>
    <t xml:space="preserve"> # dL= eGbf j9L ulx/fO{df .</t>
  </si>
  <si>
    <t xml:space="preserve">#* dL=dL= afSnf] cu|fv sf7sf] k|m]ddf </t>
  </si>
  <si>
    <t>!)–&amp;</t>
  </si>
  <si>
    <t>!%) dL=dL= 5]:sLgL</t>
  </si>
  <si>
    <t>b/ ljZn]if0fsf] nflu ?v ;+Vof ! lnOPsf]</t>
  </si>
  <si>
    <t>-Ps sf]6 k|fOd/ ;lxt_</t>
  </si>
  <si>
    <t xml:space="preserve">!% dL6/ b"/L;Dd af]sfgL ug]{ </t>
  </si>
  <si>
    <t>l*:^]Dk/ kfp*/</t>
  </si>
  <si>
    <t>l;d]G^ k]G^</t>
  </si>
  <si>
    <t>OdN;g k]G^</t>
  </si>
  <si>
    <t>PNd'lgod k]G^</t>
  </si>
  <si>
    <t>lnG;L* cfO{n</t>
  </si>
  <si>
    <t>l:kl/^</t>
  </si>
  <si>
    <t>:gf]l;d</t>
  </si>
  <si>
    <t>jf^/k|'km sDkfp)*</t>
  </si>
  <si>
    <t>kf]lnlyg lz^ 500 u]h</t>
  </si>
  <si>
    <t>b/ ljZn]if0fsf] nflu !*=($ s]=hL== lnOPsf]</t>
  </si>
  <si>
    <t xml:space="preserve">;j} k|sf/sf] </t>
  </si>
  <si>
    <t>kmnfd] PËn</t>
  </si>
  <si>
    <t>b/ k|lt s]=hL= sf]</t>
  </si>
  <si>
    <t>Formica Lamination on hard board or partition</t>
  </si>
  <si>
    <t>Making and fitting fixing Plywood Panel partition of 75 x 75 mm size sal wood frame with 12 mm thick commercial ply on midle and 4mm thick teak ply lamination on one side including all necessary hardware fitting all complete.</t>
  </si>
  <si>
    <t>Plywood panelled partition with 12mm.commercial plywood and one side  teak ply lamination</t>
  </si>
  <si>
    <t>BASF Waterproofing protection tretment  and sealing of building expansion joint /construction joint with hiugh  performance flexible tape Masterflex-3000: for all types of wide expantion joint  specially for irregular building expantion/ construction join</t>
  </si>
  <si>
    <t>Porcelain clay white glazed European pattern american standard Comode with 10 lts. low level cistern.</t>
  </si>
  <si>
    <t xml:space="preserve">Porcelain clay white galzed European pattern american standard  one piece Comode (Cotto or eq.) with  slow falling seat cover </t>
  </si>
  <si>
    <t>Porcelain clay white glazed European pattern american standard one piece Comode with slow falling seat cover.</t>
  </si>
  <si>
    <t>White glazed  oval wash basin 55X40cm with brackets 32mm bottle trap, 32mm CP waste coupling with CP chain and rubber plug, 15mm fancy type piller cock and  ½"x18" pipe connector etc  all complete.</t>
  </si>
  <si>
    <t xml:space="preserve">Rubble masonry work in inclined level in 1:4 C/S mortar in perfect line level finish including, racking the joints and curing the work for at least 7 days all complete. </t>
  </si>
  <si>
    <t>Rubble masonry work in inclined level in 1:4 C/S mortar.</t>
  </si>
  <si>
    <r>
      <t>50mm PVC pipe of 4 kg/cm</t>
    </r>
    <r>
      <rPr>
        <vertAlign val="superscript"/>
        <sz val="10"/>
        <rFont val="Arial"/>
        <family val="2"/>
      </rPr>
      <t>2</t>
    </r>
  </si>
  <si>
    <r>
      <t>75mm PVC pipe of 4 kg/cm</t>
    </r>
    <r>
      <rPr>
        <vertAlign val="superscript"/>
        <sz val="10"/>
        <rFont val="Arial"/>
        <family val="2"/>
      </rPr>
      <t>2</t>
    </r>
  </si>
  <si>
    <r>
      <t>110mm PVC pipe of 4 kg/cm</t>
    </r>
    <r>
      <rPr>
        <vertAlign val="superscript"/>
        <sz val="10"/>
        <rFont val="Arial"/>
        <family val="2"/>
      </rPr>
      <t>2</t>
    </r>
  </si>
  <si>
    <r>
      <t>4 kg/cm</t>
    </r>
    <r>
      <rPr>
        <vertAlign val="superscript"/>
        <sz val="10"/>
        <rFont val="Arial"/>
        <family val="2"/>
      </rPr>
      <t xml:space="preserve">2 </t>
    </r>
    <r>
      <rPr>
        <sz val="10"/>
        <rFont val="Arial"/>
        <family val="2"/>
      </rPr>
      <t>(110 mm) HDP pipe.</t>
    </r>
  </si>
  <si>
    <r>
      <t>4 kg/cm</t>
    </r>
    <r>
      <rPr>
        <vertAlign val="superscript"/>
        <sz val="10"/>
        <rFont val="Arial"/>
        <family val="2"/>
      </rPr>
      <t xml:space="preserve">2 </t>
    </r>
    <r>
      <rPr>
        <sz val="10"/>
        <rFont val="Arial"/>
        <family val="2"/>
      </rPr>
      <t>(125 mm) HDP pipe.</t>
    </r>
  </si>
  <si>
    <r>
      <t>4 kg/cm</t>
    </r>
    <r>
      <rPr>
        <vertAlign val="superscript"/>
        <sz val="10"/>
        <rFont val="Arial"/>
        <family val="2"/>
      </rPr>
      <t xml:space="preserve">2 </t>
    </r>
    <r>
      <rPr>
        <sz val="10"/>
        <rFont val="Arial"/>
        <family val="2"/>
      </rPr>
      <t>(140 mm) HDP pipe.</t>
    </r>
  </si>
  <si>
    <r>
      <t>4 kg/cm</t>
    </r>
    <r>
      <rPr>
        <vertAlign val="superscript"/>
        <sz val="10"/>
        <rFont val="Arial"/>
        <family val="2"/>
      </rPr>
      <t xml:space="preserve">2 </t>
    </r>
    <r>
      <rPr>
        <sz val="10"/>
        <rFont val="Arial"/>
        <family val="2"/>
      </rPr>
      <t>(150 mm) HDP pipe.</t>
    </r>
  </si>
  <si>
    <r>
      <t>4 kg/cm</t>
    </r>
    <r>
      <rPr>
        <vertAlign val="superscript"/>
        <sz val="10"/>
        <rFont val="Arial"/>
        <family val="2"/>
      </rPr>
      <t xml:space="preserve">2 </t>
    </r>
    <r>
      <rPr>
        <sz val="10"/>
        <rFont val="Arial"/>
        <family val="2"/>
      </rPr>
      <t>(180 mm) HDP pipe.</t>
    </r>
  </si>
  <si>
    <r>
      <t>4 kg/cm</t>
    </r>
    <r>
      <rPr>
        <vertAlign val="superscript"/>
        <sz val="10"/>
        <rFont val="Arial"/>
        <family val="2"/>
      </rPr>
      <t xml:space="preserve">2 </t>
    </r>
    <r>
      <rPr>
        <sz val="10"/>
        <rFont val="Arial"/>
        <family val="2"/>
      </rPr>
      <t>(200 mm) HDP pipe.</t>
    </r>
  </si>
  <si>
    <t>32 mm dia CPVC Pipe  SDR 13.5 CTS, 22.5 kg/cm2 includes fixing/laying with necessary fittings  all complete.</t>
  </si>
  <si>
    <t>40 mm dia CPVC Pipe  SDR 13.5 CTS, 22.5 kg/cm2 includes fixing/laying with necessary fittings  all complete.</t>
  </si>
  <si>
    <t>40 mm dia CPVC Pipe  SDR 13.5 CTS, includes fixing/laying with necessary fittings  all complete.</t>
  </si>
  <si>
    <t>50 mm dia CPVC Pipe  SDR 13.5 CTS, 22.5 kg/cm2 includes fixing/laying with necessary fittings  all complete.</t>
  </si>
  <si>
    <t>0.45mm colour CGI sheet roofing with proper shape &amp; size, all necessary nails, screws, bolts, nuts washers, J or L hooks etc as per drawing &amp; instruction all complete.</t>
  </si>
  <si>
    <t>0.45 mm colour CGI sheet roofing.</t>
  </si>
  <si>
    <t>0.50mm colour CGI sheet roofing including fixing in proper shape &amp; size with all necessary rails, screws, bolts &amp; nuts washers, J &amp; L hocks etc as per drawing &amp; instruction all complete.</t>
  </si>
  <si>
    <t>0.50mm colour CGI sheet roofing.</t>
  </si>
  <si>
    <t>r.m.</t>
  </si>
  <si>
    <t>Slate roofing work .</t>
  </si>
  <si>
    <t>Machine made clay tiles on roofing including fixing in proper shape &amp; size as per drawing &amp; instruction all complete.</t>
  </si>
  <si>
    <t>Machine made clay tiles on roofing .</t>
  </si>
  <si>
    <t>Clay tile ridge roofing work .</t>
  </si>
  <si>
    <t>Fixing /laying 250 mm dia Plastic Water Gutter pipe ( Half Round)  with necessary fittings  all complete.</t>
  </si>
  <si>
    <t xml:space="preserve">250 mm dia Plastic Water Gutter pipe ( Half Round)  with necessary fittings. </t>
  </si>
  <si>
    <t>50 mm mm dia UPVC  plain Tee.</t>
  </si>
  <si>
    <t xml:space="preserve">  50 mm mm dia UPVC  plain Tee.</t>
  </si>
  <si>
    <t xml:space="preserve">50 mm mm dia UPVC 90 degree bend </t>
  </si>
  <si>
    <t xml:space="preserve"> 50 mm mm dia UPVC 90 degree bend </t>
  </si>
  <si>
    <t>50 mm mm dia UPVC 45 degree bend.</t>
  </si>
  <si>
    <t xml:space="preserve">75 mm dia UPVC vent  cowl </t>
  </si>
  <si>
    <t>75 mm dia UPVC  plain Tee.</t>
  </si>
  <si>
    <t>75 mm dia UPVC  door tee.</t>
  </si>
  <si>
    <t>75 mm dia UPVC  90 degree  bend.</t>
  </si>
  <si>
    <t xml:space="preserve">75 mm dia UPVC door  bend. </t>
  </si>
  <si>
    <t>75 mm dia UPVC 45 degree bend.</t>
  </si>
  <si>
    <t xml:space="preserve">75 mm dia UPVC Y branch.  </t>
  </si>
  <si>
    <t>0.50mm colour GI plain sheet for ridge cover on roofing including fixing in proper shape &amp; size with all necessary rails, screws, bolts &amp; nuts washers, J &amp; L hocks etc as per drawing &amp; instruction all complete.</t>
  </si>
  <si>
    <r>
      <t xml:space="preserve">cfNd'lgod lkmS; e]G6Ln];g ;lxtsf] s};d]G6 em\ofn -#&amp; </t>
    </r>
    <r>
      <rPr>
        <sz val="12"/>
        <rFont val="Arial"/>
        <family val="2"/>
      </rPr>
      <t xml:space="preserve">x </t>
    </r>
    <r>
      <rPr>
        <sz val="12"/>
        <rFont val="Preeti"/>
      </rPr>
      <t>#*=%)</t>
    </r>
    <r>
      <rPr>
        <sz val="12"/>
        <rFont val="Arial"/>
        <family val="2"/>
      </rPr>
      <t>X</t>
    </r>
    <r>
      <rPr>
        <sz val="12"/>
        <rFont val="Preeti"/>
      </rPr>
      <t xml:space="preserve">!=&amp;) dL=dL=_ </t>
    </r>
  </si>
  <si>
    <t>c:t/ jfx]s Pssf]6 Knfli6s OdN;g k]G6 ug]{ sfd =======================================================================</t>
  </si>
  <si>
    <t>c:t/ jfx]s b'O{ sf]6 Knfli6s OdN;g k]G6 ug]{ sfd =======================================================================</t>
  </si>
  <si>
    <t>lhk;d af]*{af^ jfn kfl^{zg</t>
  </si>
  <si>
    <t>kmNofs hfd'g -1Æ afSnf]_</t>
  </si>
  <si>
    <t xml:space="preserve">   M kfO{k M !% k6s;Dd k|of]u ug{ ;lsg] To;kl5 @%Ü d"No afFsL /xg] lx;fan] ul/Psf] </t>
  </si>
  <si>
    <t>88/15x0.75 =4.4</t>
  </si>
  <si>
    <t>kmnfd] af]N6</t>
  </si>
  <si>
    <t>Construction of pump house as per drawing and specification</t>
  </si>
  <si>
    <t>Angle and fabrication work for water tank stand</t>
  </si>
  <si>
    <t>Construction of Manhole, Inner side 450x450mm,height 450mm ,  Wall thick thickness 230mm with brick work with 1:6 cement sand mortar, inner side plaster ,base 1:2:4 Pcc , Brick soling all complete work as per drawing and specification.</t>
  </si>
  <si>
    <t xml:space="preserve"> white glazed  Under counter wash basin 55X40mm with g, and  ½"x18" pipe connector etc  all complete.</t>
  </si>
  <si>
    <t xml:space="preserve"> white glazed  Under counter wash basin 55X40mm</t>
  </si>
  <si>
    <t>15mm dia. 6.0mm thickness section Insulation</t>
  </si>
  <si>
    <t>20mm dia. 6.0mm thickness section Insulation</t>
  </si>
  <si>
    <t>25mm dia. 6.0mm thickness section Insulation</t>
  </si>
  <si>
    <t>32mm dia. 6.0mm thickness section Insulation</t>
  </si>
  <si>
    <t>White glazed Oval wash basin 55X40cm European pattern (american Standard) with mixer and semi pedestal all complete set.</t>
  </si>
  <si>
    <t>First color glazed wash basin 55X40 cm  size Indian pattern  with brackets 32mm bottle trap, 32mm CP waste coupling with CP chain and rubber plug, cascade type with pedestal and 15mm fancy type piller cock and ½"x18" pipe connector etc  all complete.</t>
  </si>
  <si>
    <t>First color glazed wash basin 55X40 cm  size Indian pattern, cascade type with pedestal etc  all complete.</t>
  </si>
  <si>
    <t>One layer Tarfelt laying over evenly spread roofing grade bitumen with river sand on cleaned surface.</t>
  </si>
  <si>
    <t>Two layer Tarfelt laying over evenly spread roofing grade bitumen with river sand on cleaned surface.</t>
  </si>
  <si>
    <t>cf=j= )^^÷^&amp;</t>
  </si>
  <si>
    <t>sf&amp;df*f} tyf eStk'/ lhNnfsf] cf=j=2066.067 sf] b//]^</t>
  </si>
  <si>
    <t>b) U Hook for bar bed Wire Fencing</t>
  </si>
  <si>
    <r>
      <t>c) 28</t>
    </r>
    <r>
      <rPr>
        <sz val="14"/>
        <rFont val="Preeti"/>
      </rPr>
      <t xml:space="preserve"> u]h</t>
    </r>
    <r>
      <rPr>
        <sz val="14"/>
        <rFont val="Times New Roman"/>
        <family val="1"/>
      </rPr>
      <t xml:space="preserve"> </t>
    </r>
    <r>
      <rPr>
        <sz val="12"/>
        <rFont val="Times New Roman"/>
        <family val="1"/>
      </rPr>
      <t>Heavy (.30 mm)</t>
    </r>
    <r>
      <rPr>
        <sz val="14"/>
        <rFont val="Times New Roman"/>
        <family val="1"/>
      </rPr>
      <t xml:space="preserve"> </t>
    </r>
  </si>
  <si>
    <r>
      <t>b) 26</t>
    </r>
    <r>
      <rPr>
        <sz val="14"/>
        <rFont val="Preeti"/>
      </rPr>
      <t xml:space="preserve"> u]h</t>
    </r>
    <r>
      <rPr>
        <sz val="14"/>
        <rFont val="Times New Roman"/>
        <family val="1"/>
      </rPr>
      <t xml:space="preserve"> </t>
    </r>
    <r>
      <rPr>
        <sz val="11"/>
        <rFont val="Times New Roman"/>
        <family val="1"/>
      </rPr>
      <t>Medium</t>
    </r>
    <r>
      <rPr>
        <sz val="12"/>
        <rFont val="Times New Roman"/>
        <family val="1"/>
      </rPr>
      <t xml:space="preserve"> (0.38 mm)</t>
    </r>
  </si>
  <si>
    <t>w) Generator*    (Upto 10 KVA)</t>
  </si>
  <si>
    <t>jj) Water Pump   (Upto 4" DIA)</t>
  </si>
  <si>
    <t>zz) Trailer, Tractor   (10+ to 25 ton)</t>
  </si>
  <si>
    <t>aaa) Trailer, Tractor   (25 ton+)</t>
  </si>
  <si>
    <t>Supply and errection of (75mm thick) aerocon/rapicon prefab panel in partition wall.all complete ……………………………………………….</t>
  </si>
  <si>
    <t>-3_ ef/taf6 pTkflbt l;d]G6 -;a}_</t>
  </si>
  <si>
    <t xml:space="preserve">-ª_ ;]tf] l;d]G6 </t>
  </si>
  <si>
    <t xml:space="preserve">kmnfdsf] 808Lx? M </t>
  </si>
  <si>
    <t xml:space="preserve"> a) 4.75, 7 mm dia</t>
  </si>
  <si>
    <t xml:space="preserve"> b) 8 mm dia</t>
  </si>
  <si>
    <t xml:space="preserve"> c) 10,12,16,20, 25mm dia </t>
  </si>
  <si>
    <t xml:space="preserve"> d) 28,32 mm dia </t>
  </si>
  <si>
    <t xml:space="preserve"> b) 10-25mm TOR steel</t>
  </si>
  <si>
    <t xml:space="preserve"> c) 28-32mm  TOR steel</t>
  </si>
  <si>
    <t>ee) Loader, Wheel   (1 to 1.75 CUM)</t>
  </si>
  <si>
    <t>ff) Loader, Wheel   (!.75+ to 2.5 C)</t>
  </si>
  <si>
    <t>gg) Back Hoe Loader   (Upto 85 HP)</t>
  </si>
  <si>
    <t>hh) Mizer Concrete</t>
  </si>
  <si>
    <t>ii) Maintainer   (Upto 75 HP)</t>
  </si>
  <si>
    <t>kk) Pile Driver*</t>
  </si>
  <si>
    <t>ll) Roller 3, Wheel   (Upto 12 ton)</t>
  </si>
  <si>
    <t>mm) Roller, Pneumatic   (Upto 20 ton)</t>
  </si>
  <si>
    <t>White glazed Cval wash basin 55X40cm  size European pattern american standard with brackets 32mm bottle trap, 32mm CP waste coupling with CP chain and rubber plug, Basin mixer (jaquar, essco or eqv.) semi pedestal and  ½"x18" pipe connector etc  all complete.</t>
  </si>
  <si>
    <r>
      <t>Fixing /laying 400 mm dia NP</t>
    </r>
    <r>
      <rPr>
        <vertAlign val="superscript"/>
        <sz val="10"/>
        <rFont val="Arial"/>
        <family val="2"/>
      </rPr>
      <t xml:space="preserve">2 </t>
    </r>
    <r>
      <rPr>
        <sz val="10"/>
        <rFont val="Arial"/>
        <family val="2"/>
      </rPr>
      <t>RCC Hume pipe with collar including 1:4 cement sand mortar all complete.</t>
    </r>
  </si>
  <si>
    <t>Supplying and installation of UPVC Partition frame 60x60 mm with 5 mm thick clear glass or with 9 mm thick both side laminated particle board all complete with all accessorie as per specification of Korean Standard.</t>
  </si>
  <si>
    <t>Full glass partition</t>
  </si>
  <si>
    <t>Full partition with half glass and laminated particle board</t>
  </si>
  <si>
    <t>Full ht. partition with top and bottom laminated particle board and centre with glass</t>
  </si>
  <si>
    <t xml:space="preserve">Full ht. partition with top and bottom laminated particle board </t>
  </si>
  <si>
    <t>UPVC Casement Window 60*60 mm White Colour With 5mm Glass</t>
  </si>
  <si>
    <t>sf]?u]^]* /+lug ss{t kftf 0=75 ld=ld</t>
  </si>
  <si>
    <t>cfjZos g6 jf]N6</t>
  </si>
  <si>
    <t>@% dL=dL=–#&amp;=% dL=dL= afSnf] 5fKg] 9'+uf -ˆn}u:6f]g_ !M$ l;d]G6 afn'jfdf 5fKg] sfd .</t>
  </si>
  <si>
    <t xml:space="preserve">HofdL </t>
  </si>
  <si>
    <t>kDk ef++*f</t>
  </si>
  <si>
    <t>#G^f</t>
  </si>
  <si>
    <t># dL=dL= df]6fO{ d;Lgf] l;d]G6 3f]6\g] sfd .</t>
  </si>
  <si>
    <t>!!–@!</t>
  </si>
  <si>
    <t>@% dL=dL= afSnf] cu|fvsf] sf7sf] ˆn]s 5fKg] sfd .</t>
  </si>
  <si>
    <t>lsnf sf+6L</t>
  </si>
  <si>
    <t xml:space="preserve">!@–#) ;]=dL= uf]nfO{sf] ?v 9fNg] sfo{ xfFufx? sf6L ?vsf] 6'qmf kf/L lgdf{0f :ynaf6 </t>
  </si>
  <si>
    <t xml:space="preserve">!@–#) ;]=dL= uf]nfO{sf] ?v h/f lemSg] sfo{ h/f p7fpg] / lgdf{0f :ynaf6 </t>
  </si>
  <si>
    <t>kDk</t>
  </si>
  <si>
    <t xml:space="preserve"> nufpg] sfd #) dL6/;Dd 9'jfgL ;lxt</t>
  </si>
  <si>
    <t>l;d]G6 d;nf -!M$_ tof/ u/L uf/f] nufpg]</t>
  </si>
  <si>
    <t xml:space="preserve">sfd #) dL6/;Dd 9'jfgL ;lxt </t>
  </si>
  <si>
    <t>Full glass casement door</t>
  </si>
  <si>
    <t>Casement door with half glass &amp; laminated board</t>
  </si>
  <si>
    <t>Full panel casement door</t>
  </si>
  <si>
    <t>Full board casement door</t>
  </si>
  <si>
    <t>Double swing casement door with half glass &amp; panel</t>
  </si>
  <si>
    <t xml:space="preserve">Double swing casement door with full glass </t>
  </si>
  <si>
    <t>e'O{tNnfeGbf dfly d]lzgåf/f agfOPsf] O{6f pknAw ug]{,</t>
  </si>
  <si>
    <t>d]^fnfO{H* kf][ln:^/ jf]*{ kmN;l;ln+u-l*hfOg_</t>
  </si>
  <si>
    <t>h] x's,o" x's-1 s]=hL=df 14 j^F dfg]sf]_</t>
  </si>
  <si>
    <t>r'gf /+uLg -sfrf] r'gf_</t>
  </si>
  <si>
    <t>b'O{ tx tf/km]N6 sfd =======================================================================================</t>
  </si>
  <si>
    <t>6fO{n 5fgf eTsfpg] sfd ==================================================================================</t>
  </si>
  <si>
    <t>g) Air compressor 150 to 275 CPM</t>
  </si>
  <si>
    <t>h) Crane Mobile  5 to 10 ton</t>
  </si>
  <si>
    <t>i) Crane Mobile   (10+ to 15 ton)</t>
  </si>
  <si>
    <t>j) Crusher Stone   (50 to 100HP)</t>
  </si>
  <si>
    <t>k) Cutter Concrete</t>
  </si>
  <si>
    <t>l) Dozer Wheel    (150+ to 225 HP)</t>
  </si>
  <si>
    <t>m) Dozer, Track   (120 to 180 HP)</t>
  </si>
  <si>
    <t>b/ ljZn]if0fsf] nflu ! 3=ld= lnOPsf]</t>
  </si>
  <si>
    <t>3=dL=</t>
  </si>
  <si>
    <t xml:space="preserve">s_ ^ dL= dL= ;fOhsf] 9'Ëf sf] /f]8f </t>
  </si>
  <si>
    <t>3=lkm</t>
  </si>
  <si>
    <t>v_ !@ dL=dL  ,,   ,,</t>
  </si>
  <si>
    <t xml:space="preserve">u_ #–$ dL= dL= ,,   ,, </t>
  </si>
  <si>
    <t>3_ ;a} ;fOhsf] lu§L</t>
  </si>
  <si>
    <t xml:space="preserve">lkmN6/ ;fdfu|L </t>
  </si>
  <si>
    <t>PdlkPn lhk jf]8{ Kn]g km\n;\ l;lnË =======================================================================</t>
  </si>
  <si>
    <r>
      <t>¾"</t>
    </r>
    <r>
      <rPr>
        <sz val="14"/>
        <rFont val="Kanchan"/>
      </rPr>
      <t xml:space="preserve"> </t>
    </r>
    <r>
      <rPr>
        <sz val="14"/>
        <rFont val="Preeti"/>
      </rPr>
      <t>sf] :Sjfo/ kfO{k /]lnË jgfO{ ;fn jf lzzf}sf]</t>
    </r>
    <r>
      <rPr>
        <sz val="14"/>
        <rFont val="Kanchan"/>
      </rPr>
      <t xml:space="preserve"> </t>
    </r>
    <r>
      <rPr>
        <sz val="10"/>
        <rFont val="Arial"/>
        <family val="2"/>
      </rPr>
      <t xml:space="preserve">Handrail </t>
    </r>
    <r>
      <rPr>
        <sz val="14"/>
        <rFont val="Preeti"/>
      </rPr>
      <t>h8fg ug]{ sfd=========</t>
    </r>
  </si>
  <si>
    <t>/ P]gf</t>
  </si>
  <si>
    <t>Psftkm{ $ dL=dL= l6sKnfO{p8 n]ldg]6 u/L jf6/k|'km KnfO{p8sf] l8nfvfkf agfO{ h8fg ug]{ .</t>
  </si>
  <si>
    <t>8 dL=dL=jf^/k|'km KnfO{p*</t>
  </si>
  <si>
    <r>
      <t xml:space="preserve">b/ ljZn]if0fsf] nflu !=)(@ </t>
    </r>
    <r>
      <rPr>
        <sz val="8"/>
        <rFont val="Arial"/>
        <family val="2"/>
      </rPr>
      <t>X</t>
    </r>
    <r>
      <rPr>
        <sz val="11"/>
        <rFont val="Preeti"/>
      </rPr>
      <t xml:space="preserve"> @=)%* Ö @=@$% j=ld= lnOPsf]</t>
    </r>
  </si>
  <si>
    <r>
      <t xml:space="preserve">Expansion Joint Works: -                         </t>
    </r>
    <r>
      <rPr>
        <sz val="12"/>
        <rFont val="Times New Roman"/>
        <family val="1"/>
      </rPr>
      <t xml:space="preserve"> </t>
    </r>
    <r>
      <rPr>
        <sz val="8"/>
        <rFont val="Times New Roman"/>
        <family val="1"/>
      </rPr>
      <t xml:space="preserve">Providing and chipping and plaster with mixing  </t>
    </r>
    <r>
      <rPr>
        <b/>
        <sz val="8"/>
        <rFont val="Times New Roman"/>
        <family val="1"/>
      </rPr>
      <t>Perma Bond SBR</t>
    </r>
    <r>
      <rPr>
        <sz val="8"/>
        <rFont val="Times New Roman"/>
        <family val="1"/>
      </rPr>
      <t xml:space="preserve"> modified mortar up to 40 mm wide on levelling all complete. Providing and laying thermacol in the hole, Providing masking tape on thermacol  a</t>
    </r>
  </si>
  <si>
    <r>
      <t>Epoxy Coving</t>
    </r>
    <r>
      <rPr>
        <sz val="12"/>
        <rFont val="Times New Roman"/>
        <family val="1"/>
      </rPr>
      <t xml:space="preserve"> </t>
    </r>
  </si>
  <si>
    <t>Plain plaster of paris in wall and ceiling including mixing laying and rubbing to a hard, smooth and shining surface all complete</t>
  </si>
  <si>
    <t>Plain plaster of paris in wall and ceiling</t>
  </si>
  <si>
    <t>25mm thick sal wood planking work with salwood frame (size 50x75mm)  making 60x90cm room size  all complete.</t>
  </si>
  <si>
    <t xml:space="preserve">0f_ r'gf k]G6 ug{ /fVg] ud </t>
  </si>
  <si>
    <t>t_ g]kfnL lyg/</t>
  </si>
  <si>
    <t>-y_ l;d]G6 k|fOd/ ;]tf]</t>
  </si>
  <si>
    <t>-b_ tf/lkg t]n</t>
  </si>
  <si>
    <t>-g_ p8 lk|h/ d]l6Ë k]G6</t>
  </si>
  <si>
    <t xml:space="preserve"> Æ </t>
  </si>
  <si>
    <t>-km_ /fd ltns</t>
  </si>
  <si>
    <r>
      <t>CGI</t>
    </r>
    <r>
      <rPr>
        <sz val="13"/>
        <rFont val="Preeti"/>
      </rPr>
      <t xml:space="preserve"> </t>
    </r>
    <r>
      <rPr>
        <sz val="10"/>
        <rFont val="Preeti"/>
      </rPr>
      <t xml:space="preserve">kftf @^ u]h </t>
    </r>
    <r>
      <rPr>
        <sz val="8"/>
        <rFont val="Arial"/>
        <family val="2"/>
      </rPr>
      <t>(0.41mm)</t>
    </r>
  </si>
  <si>
    <t>4mm 0.25 black core</t>
  </si>
  <si>
    <t>Aluminium composit panel 4mm 0.30 black core sheet supplying and fitting all complete work.</t>
  </si>
  <si>
    <t>4mm 0.30 black core</t>
  </si>
  <si>
    <t>Aluminium composit panel 4mm 0.50 black core sheet supplying and fitting all complete work.</t>
  </si>
  <si>
    <t>4mm 0.50 black core</t>
  </si>
  <si>
    <t>Aluminium composit panel 4mm.0.25 Vergin core sheet supplying and fitting all complete work.</t>
  </si>
  <si>
    <t>Aluminium composit panel 4mm.0.30 Vergin core sheet supplying and fitting all complete work.</t>
  </si>
  <si>
    <t>Aluminium composit panel 4mm.0.50 Vergin core sheet supplying and fitting all complete work.</t>
  </si>
  <si>
    <t>Aluminium composit panel 4mm.0.50 Vergin core sheet supplying and fitting all complete work</t>
  </si>
  <si>
    <t xml:space="preserve">UPVC Casement Window 60*60 mm Frame White Colour With 5mm Glass With Adjustable Glass Panel Luever </t>
  </si>
  <si>
    <t>UPVC Sliding Window With 50*80 mm White Colour With Aluminium Sliding Track And 5mm Glass With Adjustable Glass Panel Luever</t>
  </si>
  <si>
    <t>UPVC Door 100mm*60mm White Colour With Top Glass 5mm And Bottom UPVC Panel</t>
  </si>
  <si>
    <t>UPVC Door 100mm*60mm White Colour With Top Glass 5mm Glass And Bottom 9mm Nepal Board</t>
  </si>
  <si>
    <t>UPVC Door 100mm*60mm White Colour With Top And Bottom UPVC Panel</t>
  </si>
  <si>
    <t>UPVC 60*60 mm Partition With Half Board 9mm And Other Half 5mm Glass</t>
  </si>
  <si>
    <t>UPVC 100mm*60mm Swing Door With Top 5mm Glass And Bottom UPVC Panel</t>
  </si>
  <si>
    <t>Aerocon/Rapicon prefab Panel for Partition wall</t>
  </si>
  <si>
    <t>a) supply and erection with aerocon p5 wall partition.</t>
  </si>
  <si>
    <t>b)supply and erection with aerocon p5 wall partition</t>
  </si>
  <si>
    <r>
      <t>iii)</t>
    </r>
    <r>
      <rPr>
        <sz val="14"/>
        <rFont val="Preeti"/>
      </rPr>
      <t xml:space="preserve"> sfnf]kq]df lj6'dLg sd k|of]u ug{sf] nfuL /flvg] </t>
    </r>
    <r>
      <rPr>
        <sz val="12"/>
        <rFont val="Times New Roman"/>
        <family val="1"/>
      </rPr>
      <t>Rubber Asphalt Modifier</t>
    </r>
  </si>
  <si>
    <r>
      <t>iv) Packed bitumen emulsion</t>
    </r>
    <r>
      <rPr>
        <sz val="12"/>
        <rFont val="Preeti"/>
      </rPr>
      <t xml:space="preserve"> </t>
    </r>
    <r>
      <rPr>
        <sz val="14"/>
        <rFont val="Preeti"/>
      </rPr>
      <t>sf] sfd</t>
    </r>
  </si>
  <si>
    <r>
      <t>l56f] hDg]</t>
    </r>
    <r>
      <rPr>
        <sz val="12"/>
        <rFont val="Times New Roman"/>
        <family val="1"/>
      </rPr>
      <t xml:space="preserve"> (RS60%)</t>
    </r>
  </si>
  <si>
    <r>
      <t xml:space="preserve">  </t>
    </r>
    <r>
      <rPr>
        <sz val="14"/>
        <rFont val="Preeti"/>
      </rPr>
      <t>dWod hDg]</t>
    </r>
    <r>
      <rPr>
        <sz val="12"/>
        <rFont val="Times New Roman"/>
        <family val="1"/>
      </rPr>
      <t xml:space="preserve"> (MS 65%)</t>
    </r>
  </si>
  <si>
    <r>
      <t xml:space="preserve">  </t>
    </r>
    <r>
      <rPr>
        <sz val="14"/>
        <rFont val="Preeti"/>
      </rPr>
      <t>9Lnf] hDg]</t>
    </r>
    <r>
      <rPr>
        <sz val="12"/>
        <rFont val="Times New Roman"/>
        <family val="1"/>
      </rPr>
      <t xml:space="preserve"> (SS60%)</t>
    </r>
  </si>
  <si>
    <r>
      <t>xiv)</t>
    </r>
    <r>
      <rPr>
        <sz val="14"/>
        <rFont val="Times New Roman"/>
        <family val="1"/>
      </rPr>
      <t xml:space="preserve"> </t>
    </r>
    <r>
      <rPr>
        <sz val="12"/>
        <rFont val="Preeti"/>
      </rPr>
      <t>$Æ</t>
    </r>
    <r>
      <rPr>
        <sz val="12"/>
        <rFont val="Times New Roman"/>
        <family val="1"/>
      </rPr>
      <t>x</t>
    </r>
    <r>
      <rPr>
        <sz val="12"/>
        <rFont val="Preeti"/>
      </rPr>
      <t xml:space="preserve"> %Æsf] ;fn sf7sf] gfu a'§f sF'lb tof/L u/L h8fg ug]{ sfo{</t>
    </r>
  </si>
  <si>
    <r>
      <t>!_ blr ckf 7"nf] *Æ</t>
    </r>
    <r>
      <rPr>
        <sz val="14"/>
        <rFont val="Times New Roman"/>
        <family val="1"/>
      </rPr>
      <t>×</t>
    </r>
    <r>
      <rPr>
        <sz val="14"/>
        <rFont val="Preeti"/>
      </rPr>
      <t>@–#÷*Æ</t>
    </r>
    <r>
      <rPr>
        <sz val="14"/>
        <rFont val="Times New Roman"/>
        <family val="1"/>
      </rPr>
      <t>×</t>
    </r>
    <r>
      <rPr>
        <sz val="14"/>
        <rFont val="Preeti"/>
      </rPr>
      <t>%Æ</t>
    </r>
  </si>
  <si>
    <r>
      <t>@_ blr ckf ;fgf] *#÷*Æ</t>
    </r>
    <r>
      <rPr>
        <sz val="14"/>
        <rFont val="Times New Roman"/>
        <family val="1"/>
      </rPr>
      <t>×</t>
    </r>
    <r>
      <rPr>
        <sz val="14"/>
        <rFont val="Preeti"/>
      </rPr>
      <t>@–!÷*Æ</t>
    </r>
    <r>
      <rPr>
        <sz val="14"/>
        <rFont val="Times New Roman"/>
        <family val="1"/>
      </rPr>
      <t>×</t>
    </r>
    <r>
      <rPr>
        <sz val="14"/>
        <rFont val="Preeti"/>
      </rPr>
      <t>$–!÷$Æ</t>
    </r>
  </si>
  <si>
    <r>
      <t>%_ dfF ckf 7'nf] *–&amp;÷*Æ</t>
    </r>
    <r>
      <rPr>
        <sz val="14"/>
        <rFont val="Times New Roman"/>
        <family val="1"/>
      </rPr>
      <t>×</t>
    </r>
    <r>
      <rPr>
        <sz val="14"/>
        <rFont val="Preeti"/>
      </rPr>
      <t>@–!÷$Æ</t>
    </r>
    <r>
      <rPr>
        <sz val="14"/>
        <rFont val="Times New Roman"/>
        <family val="1"/>
      </rPr>
      <t>×</t>
    </r>
    <r>
      <rPr>
        <sz val="14"/>
        <rFont val="Preeti"/>
      </rPr>
      <t>%–#÷$Æ</t>
    </r>
  </si>
  <si>
    <r>
      <t xml:space="preserve">^_ dfF ckf 7'nf] </t>
    </r>
    <r>
      <rPr>
        <sz val="12"/>
        <rFont val="Times New Roman"/>
        <family val="1"/>
      </rPr>
      <t>241x60x158 mm</t>
    </r>
  </si>
  <si>
    <r>
      <t>&amp;_ df ckf ;fgf] *–#÷*Æ</t>
    </r>
    <r>
      <rPr>
        <sz val="14"/>
        <rFont val="Times New Roman"/>
        <family val="1"/>
      </rPr>
      <t>×</t>
    </r>
    <r>
      <rPr>
        <sz val="14"/>
        <rFont val="Preeti"/>
      </rPr>
      <t>@Æ</t>
    </r>
    <r>
      <rPr>
        <sz val="14"/>
        <rFont val="Times New Roman"/>
        <family val="1"/>
      </rPr>
      <t>×</t>
    </r>
    <r>
      <rPr>
        <sz val="14"/>
        <rFont val="Preeti"/>
      </rPr>
      <t>%Æ</t>
    </r>
  </si>
  <si>
    <r>
      <t>*_ w'/L rfË 7"nf] (–#÷*Æ%–!÷@Æ</t>
    </r>
    <r>
      <rPr>
        <sz val="14"/>
        <rFont val="Times New Roman"/>
        <family val="1"/>
      </rPr>
      <t>×</t>
    </r>
    <r>
      <rPr>
        <sz val="14"/>
        <rFont val="Preeti"/>
      </rPr>
      <t>#÷$</t>
    </r>
  </si>
  <si>
    <r>
      <t xml:space="preserve">(_ w'/L </t>
    </r>
    <r>
      <rPr>
        <sz val="12"/>
        <rFont val="Times New Roman"/>
        <family val="1"/>
      </rPr>
      <t>230x295x25 mm</t>
    </r>
  </si>
  <si>
    <r>
      <t>s_ !*Æ</t>
    </r>
    <r>
      <rPr>
        <sz val="14"/>
        <rFont val="Times New Roman"/>
        <family val="1"/>
      </rPr>
      <t>×</t>
    </r>
    <r>
      <rPr>
        <sz val="14"/>
        <rFont val="Preeti"/>
      </rPr>
      <t>!)Æ</t>
    </r>
    <r>
      <rPr>
        <sz val="14"/>
        <rFont val="Times New Roman"/>
        <family val="1"/>
      </rPr>
      <t>×</t>
    </r>
    <r>
      <rPr>
        <sz val="14"/>
        <rFont val="Preeti"/>
      </rPr>
      <t>%Æ</t>
    </r>
  </si>
  <si>
    <r>
      <t>Vf_  !*Æ</t>
    </r>
    <r>
      <rPr>
        <sz val="14"/>
        <rFont val="Times New Roman"/>
        <family val="1"/>
      </rPr>
      <t>×</t>
    </r>
    <r>
      <rPr>
        <sz val="14"/>
        <rFont val="Preeti"/>
      </rPr>
      <t>!)Æ</t>
    </r>
    <r>
      <rPr>
        <sz val="14"/>
        <rFont val="Times New Roman"/>
        <family val="1"/>
      </rPr>
      <t>×</t>
    </r>
    <r>
      <rPr>
        <sz val="14"/>
        <rFont val="Preeti"/>
      </rPr>
      <t>$Æ</t>
    </r>
  </si>
  <si>
    <r>
      <t xml:space="preserve"> !(_ Nxf]x ckf !%Æ</t>
    </r>
    <r>
      <rPr>
        <sz val="14"/>
        <rFont val="Times New Roman"/>
        <family val="1"/>
      </rPr>
      <t>×</t>
    </r>
    <r>
      <rPr>
        <sz val="14"/>
        <rFont val="Preeti"/>
      </rPr>
      <t>(Æ</t>
    </r>
    <r>
      <rPr>
        <sz val="14"/>
        <rFont val="Times New Roman"/>
        <family val="1"/>
      </rPr>
      <t>×</t>
    </r>
    <r>
      <rPr>
        <sz val="14"/>
        <rFont val="Preeti"/>
      </rPr>
      <t>#Æ</t>
    </r>
  </si>
  <si>
    <r>
      <t xml:space="preserve"> @)_ kmMNxf]x ckf 7'nf] </t>
    </r>
    <r>
      <rPr>
        <sz val="11"/>
        <rFont val="Times New Roman"/>
        <family val="1"/>
      </rPr>
      <t>375x225x100mm</t>
    </r>
  </si>
  <si>
    <r>
      <t xml:space="preserve"> @!_ kmMNxf]x ckf ;fgf] </t>
    </r>
    <r>
      <rPr>
        <sz val="11"/>
        <rFont val="Times New Roman"/>
        <family val="1"/>
      </rPr>
      <t>254x229x102mm</t>
    </r>
  </si>
  <si>
    <r>
      <t xml:space="preserve"> @@_ tLgs'g}  t]lnof O{+6f  -(Æ</t>
    </r>
    <r>
      <rPr>
        <sz val="14"/>
        <rFont val="Times New Roman"/>
        <family val="1"/>
      </rPr>
      <t>×</t>
    </r>
    <r>
      <rPr>
        <sz val="14"/>
        <rFont val="Preeti"/>
      </rPr>
      <t>(Æ</t>
    </r>
    <r>
      <rPr>
        <sz val="14"/>
        <rFont val="Times New Roman"/>
        <family val="1"/>
      </rPr>
      <t>×</t>
    </r>
    <r>
      <rPr>
        <sz val="14"/>
        <rFont val="Preeti"/>
      </rPr>
      <t>@–!÷$Æ</t>
    </r>
  </si>
  <si>
    <r>
      <t xml:space="preserve"> @#_ tLgs'g}  t]lnof O{+6f  -^Æ</t>
    </r>
    <r>
      <rPr>
        <sz val="14"/>
        <rFont val="Times New Roman"/>
        <family val="1"/>
      </rPr>
      <t>×</t>
    </r>
    <r>
      <rPr>
        <sz val="14"/>
        <rFont val="Preeti"/>
      </rPr>
      <t>^Æ</t>
    </r>
    <r>
      <rPr>
        <sz val="14"/>
        <rFont val="Times New Roman"/>
        <family val="1"/>
      </rPr>
      <t>×</t>
    </r>
    <r>
      <rPr>
        <sz val="14"/>
        <rFont val="Preeti"/>
      </rPr>
      <t>@–!÷$Æ</t>
    </r>
  </si>
  <si>
    <r>
      <t xml:space="preserve"> @$_ rf/s'g}  t]lnof O{+6f  -*Æ</t>
    </r>
    <r>
      <rPr>
        <sz val="14"/>
        <rFont val="Times New Roman"/>
        <family val="1"/>
      </rPr>
      <t>×</t>
    </r>
    <r>
      <rPr>
        <sz val="14"/>
        <rFont val="Preeti"/>
      </rPr>
      <t>*Æ</t>
    </r>
  </si>
  <si>
    <r>
      <t xml:space="preserve"> @%_ t]lnof O{+6f  -^Æ</t>
    </r>
    <r>
      <rPr>
        <sz val="14"/>
        <rFont val="Times New Roman"/>
        <family val="1"/>
      </rPr>
      <t>×</t>
    </r>
    <r>
      <rPr>
        <sz val="14"/>
        <rFont val="Preeti"/>
      </rPr>
      <t>^Æ</t>
    </r>
    <r>
      <rPr>
        <sz val="14"/>
        <rFont val="Times New Roman"/>
        <family val="1"/>
      </rPr>
      <t/>
    </r>
  </si>
  <si>
    <r>
      <t>50mm th. , (600×1800)mm</t>
    </r>
    <r>
      <rPr>
        <vertAlign val="superscript"/>
        <sz val="12"/>
        <rFont val="Times New Roman"/>
        <family val="1"/>
      </rPr>
      <t>2</t>
    </r>
    <r>
      <rPr>
        <sz val="12"/>
        <rFont val="Times New Roman"/>
        <family val="1"/>
      </rPr>
      <t>(12×6) ft</t>
    </r>
  </si>
  <si>
    <r>
      <t>50mm th. , (600×1500)mm</t>
    </r>
    <r>
      <rPr>
        <vertAlign val="superscript"/>
        <sz val="12"/>
        <rFont val="Times New Roman"/>
        <family val="1"/>
      </rPr>
      <t>2</t>
    </r>
    <r>
      <rPr>
        <sz val="12"/>
        <rFont val="Times New Roman"/>
        <family val="1"/>
      </rPr>
      <t>(12×5) ft</t>
    </r>
  </si>
  <si>
    <r>
      <t>40mm th. , (600×3000)mm</t>
    </r>
    <r>
      <rPr>
        <vertAlign val="superscript"/>
        <sz val="12"/>
        <rFont val="Times New Roman"/>
        <family val="1"/>
      </rPr>
      <t>2</t>
    </r>
    <r>
      <rPr>
        <sz val="12"/>
        <rFont val="Times New Roman"/>
        <family val="1"/>
      </rPr>
      <t>(12×10 ft )</t>
    </r>
  </si>
  <si>
    <r>
      <t>40mm th. , (600×2100)mm</t>
    </r>
    <r>
      <rPr>
        <vertAlign val="superscript"/>
        <sz val="12"/>
        <rFont val="Times New Roman"/>
        <family val="1"/>
      </rPr>
      <t>2</t>
    </r>
    <r>
      <rPr>
        <sz val="12"/>
        <rFont val="Times New Roman"/>
        <family val="1"/>
      </rPr>
      <t>(12×7 ft)</t>
    </r>
  </si>
  <si>
    <t>2 coats of  readymade washable distemper paint of approved colour with one coat primer Painting over porperly cleaned surface all complete</t>
  </si>
  <si>
    <t>2 coats of weather coat (Apex) paint of approved colour with one coat primer Painting over porperly cleaned surface all complete</t>
  </si>
  <si>
    <t>i) Retro-reflective traffic sign</t>
  </si>
  <si>
    <t>ii) Painted traffic sign</t>
  </si>
  <si>
    <t>iii) Normal cats eye</t>
  </si>
  <si>
    <t>iv) Solar power road stud</t>
  </si>
  <si>
    <t>v) Traffic signal (Circular or Arrow )</t>
  </si>
  <si>
    <t>vi) Traffic signal control unit</t>
  </si>
  <si>
    <t xml:space="preserve">Heritage Wall Surface Texture (Interior and Exterior) including the cost supplying and fitting (Heritage granular) </t>
  </si>
  <si>
    <t>;fn jf lzzf} sf7sf] snfTds kf]i6,an':6/ tyf Xof08/]n tof/ u/L h8fg ;d]t ug]{ .</t>
  </si>
  <si>
    <t>tof/L Knfli6s Odn\;g k]G6 b'O{ sf]6 nufpg] .</t>
  </si>
  <si>
    <t>Pno"ldlgod k]G6</t>
  </si>
  <si>
    <t>8an af]O{N8 lnlG;8 cfon Ps sf]6 nufpg] .</t>
  </si>
  <si>
    <t>lnG;L8 cfon</t>
  </si>
  <si>
    <t>8an af]O{N8 lnlG;8 cfon b'O{ sf]6 nufpg] .</t>
  </si>
  <si>
    <t>afg]{;</t>
  </si>
  <si>
    <r>
      <t xml:space="preserve">kftfsf] 5fgf 5fpg] sfd k'/f . </t>
    </r>
    <r>
      <rPr>
        <sz val="14"/>
        <rFont val="Preeti"/>
      </rPr>
      <t>-)=%) dL=dL=afSnf] _</t>
    </r>
  </si>
  <si>
    <t>b/ ljZn]if0fsf] nflu !) /=dL= lnOPsf]</t>
  </si>
  <si>
    <r>
      <t xml:space="preserve">Sn] 6fon </t>
    </r>
    <r>
      <rPr>
        <sz val="9"/>
        <rFont val="Preeti"/>
      </rPr>
      <t>-!a=dL a/fa/ ^# j6f_</t>
    </r>
  </si>
  <si>
    <t>b/ ljZn]if0fsf] nflu ! j=ld= lnOPsf]</t>
  </si>
  <si>
    <t>Æ</t>
  </si>
  <si>
    <t>;'Vvf O{6f RofK6f] 5fKg] sfd .</t>
  </si>
  <si>
    <t>O{6f</t>
  </si>
  <si>
    <t xml:space="preserve">jfn'jf vf]nfsf] </t>
  </si>
  <si>
    <t>;'Vvf O{6f 7f8f] 5fKg] sfd .</t>
  </si>
  <si>
    <t>hf]gL{sf] dfly tNnf] efudf !M# l;d]G6 afn'jfsf] d;nfsf] ˆnz l6Ksf/ ug]{ sfd .</t>
  </si>
  <si>
    <t>h8fg ug]{ sfd k'/f .</t>
  </si>
  <si>
    <t># dL=dL= dfj{n lrK;</t>
  </si>
  <si>
    <t>!!–$</t>
  </si>
  <si>
    <t xml:space="preserve">@) dL=dL= afSnf] df]hfos ˆnf]l/Ë ug]{ !@+=% dL=dL= l;d]G6 Knfi6/ !M@ efudf nufO{ </t>
  </si>
  <si>
    <t>vi) Aluminium swing door of section (101x45x1.1)</t>
  </si>
  <si>
    <t>vii) Aluminium sliding windows of section (88 x38 x1.1)</t>
  </si>
  <si>
    <t xml:space="preserve">    c) 8 gauge heavy duty</t>
  </si>
  <si>
    <t>ii)  a) 10 gauge light class</t>
  </si>
  <si>
    <t xml:space="preserve">    b) 10 gauge medium class   </t>
  </si>
  <si>
    <t xml:space="preserve">    c) 10 gauge heavy duty</t>
  </si>
  <si>
    <t>iii)  a) 12 gauge light class</t>
  </si>
  <si>
    <t xml:space="preserve">    b) 12 gauge medium class   </t>
  </si>
  <si>
    <t xml:space="preserve">    c) 12 gauge heavy duty</t>
  </si>
  <si>
    <t>a08n</t>
  </si>
  <si>
    <t>-v_ /+lug h:tfkftf</t>
  </si>
  <si>
    <t xml:space="preserve">;fbf  h:tf kftf </t>
  </si>
  <si>
    <t>lk;</t>
  </si>
  <si>
    <t>sfo{ ;d"x …emÚ M– ˆnf]l/Ësf] sfd</t>
  </si>
  <si>
    <t>plater board finishing of joints with compound &amp; tape all complete.</t>
  </si>
  <si>
    <t>d]6fnfO{H8 kf]ln:6/ jf]8{ kmN;\l;lnËsf</t>
  </si>
  <si>
    <t>Supplying, making, fixing ceiling with MPL board (for CGI roofing ceiling) design ceiling.</t>
  </si>
  <si>
    <t>! 3</t>
  </si>
  <si>
    <t xml:space="preserve">Aluminium partition with 5 mm thick glass and 9 mm thick laminated board of section (64 x38x1.1) </t>
  </si>
  <si>
    <t xml:space="preserve">Aluminium partition with 5 mm thick glass and 9 mm thick laminated board of section (101 x45x1.1) </t>
  </si>
  <si>
    <t xml:space="preserve">Aluminium sliding windows of section (88 x38 x1.1) </t>
  </si>
  <si>
    <t xml:space="preserve">Aluminium swing door of section (101x45x1.1) </t>
  </si>
  <si>
    <t xml:space="preserve">Aluminium casement door of section (101 x45 x1.1) </t>
  </si>
  <si>
    <t xml:space="preserve">Aluminium casement windows of section (54 x38 x1.1) </t>
  </si>
  <si>
    <t xml:space="preserve"> Aluminium sliding door of section (101 x45x1.1) </t>
  </si>
  <si>
    <t xml:space="preserve"> Aluminium sliding window with fixed panels without fly mesh shutter of section (88 x38.1x1.1) </t>
  </si>
  <si>
    <t xml:space="preserve"> Aluminium fix panel at sliding windows of section (88 x38.1x1.1) </t>
  </si>
  <si>
    <t>UPVC (100x60)mm,9mm th. Board and 5 mm th glass white color doors with necessary accessories all complete;</t>
  </si>
  <si>
    <t xml:space="preserve">2 coats of weather coat (Apex) paint with one coat primer Painting </t>
  </si>
  <si>
    <t xml:space="preserve">2 coats of  readymade washable distemper paint  with one coat primer </t>
  </si>
  <si>
    <t>Supplying and laying of Godawari(30cm.x30cm) marbal in cement sand motar</t>
  </si>
  <si>
    <t xml:space="preserve">Supplying and laying of 16mm thick granite in cement sand motar </t>
  </si>
  <si>
    <t xml:space="preserve">Supplying and applying white cement putty on ceiling and wall </t>
  </si>
  <si>
    <t>Supply and fixing of (40mm thick)aerocon/rapicon prefab panel  cubical partition wall all complete</t>
  </si>
  <si>
    <t xml:space="preserve">Supply and errection of (40mm thick) aerocon/rapicon prefab panel in partition wall. All complete </t>
  </si>
  <si>
    <t xml:space="preserve">Supply and errection of (50mm thick) aerocon/rapicon prefab panel in partition wall. All complete </t>
  </si>
  <si>
    <t xml:space="preserve">Supply and errection of (75mm thick) aerocon/rapicon prefab panel in partition wall.all complete </t>
  </si>
  <si>
    <t>cnsqf k]G6 Ps sf]6 nufpg] sfd .</t>
  </si>
  <si>
    <t>cnsqf k]G6</t>
  </si>
  <si>
    <t>sf]?u]^]* /+lug ss{t kftf 0=52 ld=ld</t>
  </si>
  <si>
    <t>g]kfnL lyg/</t>
  </si>
  <si>
    <t>UPVC (60x60)mm size,9mm th.  white colour partition board /5mm glass pannel fixing all complete ………………………………………</t>
  </si>
  <si>
    <t xml:space="preserve">Supplying and laying 100mm long 12mmthick parquate skirting </t>
  </si>
  <si>
    <t xml:space="preserve">Supplying and fitting  sal/sisau hand rail on  special post, sal wood baluster for railling </t>
  </si>
  <si>
    <t xml:space="preserve">Supplying &amp; Painting minium 2 coats of Japanees Texture paint over cement plastered surface </t>
  </si>
  <si>
    <r>
      <t xml:space="preserve"> #æ–$æ Jof;sf]</t>
    </r>
    <r>
      <rPr>
        <sz val="12"/>
        <rFont val="Times New Roman"/>
        <family val="1"/>
      </rPr>
      <t xml:space="preserve"> Iron Black Pipe</t>
    </r>
    <r>
      <rPr>
        <sz val="12"/>
        <rFont val="Preeti"/>
      </rPr>
      <t xml:space="preserve">df PËn / kl§ /fvL  v'8lsnf ;lxtsf] </t>
    </r>
    <r>
      <rPr>
        <b/>
        <sz val="12"/>
        <rFont val="Preeti"/>
      </rPr>
      <t>3'Dg] e¥ofË</t>
    </r>
    <r>
      <rPr>
        <sz val="12"/>
        <rFont val="Preeti"/>
      </rPr>
      <t xml:space="preserve"> </t>
    </r>
    <r>
      <rPr>
        <sz val="12"/>
        <rFont val="Times New Roman"/>
        <family val="1"/>
      </rPr>
      <t>(Spiral Staircase)</t>
    </r>
    <r>
      <rPr>
        <sz val="12"/>
        <rFont val="Preeti"/>
      </rPr>
      <t xml:space="preserve">tof/ u/L h8fg ;d]t -e¥ofªsf] gfkL ubf{ </t>
    </r>
    <r>
      <rPr>
        <sz val="12"/>
        <rFont val="Times New Roman"/>
        <family val="1"/>
      </rPr>
      <t>floor to floor height</t>
    </r>
    <r>
      <rPr>
        <sz val="12"/>
        <rFont val="Preeti"/>
      </rPr>
      <t xml:space="preserve"> lng]_</t>
    </r>
  </si>
  <si>
    <t>k|=#=</t>
  </si>
  <si>
    <r>
      <t># d+L= b"/Ldf vDaf uf8L sf+8]tf/ nufpg] sfd</t>
    </r>
    <r>
      <rPr>
        <sz val="14"/>
        <rFont val="Preeti"/>
      </rPr>
      <t xml:space="preserve"> =============================================================</t>
    </r>
  </si>
  <si>
    <r>
      <t xml:space="preserve"># </t>
    </r>
    <r>
      <rPr>
        <sz val="9"/>
        <rFont val="Arial"/>
        <family val="2"/>
      </rPr>
      <t>X</t>
    </r>
    <r>
      <rPr>
        <sz val="14"/>
        <rFont val="Preeti"/>
      </rPr>
      <t xml:space="preserve"> @) dL=dL=u|Ln jgfO{ hf]8\g] sfd -k]G6 ;d]t_ =======================================================================</t>
    </r>
  </si>
  <si>
    <t>Formwork, shuttering, centering with 19mm thick waterproof ply board and steel post</t>
  </si>
  <si>
    <t>Formwork, shuttering, centering with approved materials for  beam upto 0.30 m necessary propping, scaffolding, staging, supporting inclusive of wedging and cutting holes for utilization till the support if fully unyielding nett.</t>
  </si>
  <si>
    <t>Formwork, shuttering, centering with approved materials for  beam upto 0.30 m depth.</t>
  </si>
  <si>
    <t>Formwork, shuttering, centering with approved materials for  0.30m to 0.80 m deep beam necessary propping, scaffolding, staging, supporting inclusive of wedging and cutting holes for utilization till the support if fully unyielding nett.</t>
  </si>
  <si>
    <t>Formwork, shuttering, centering with approved materials for   0.30 to 0.80 m.deep beam.</t>
  </si>
  <si>
    <t>eTsfpg] / x6fpg] / #) ld6/;Dd 9'jfgL ug]{ cflb ;d]t</t>
  </si>
  <si>
    <t>;lxt ;Dk"0f{ sfd .</t>
  </si>
  <si>
    <t>af/ / sfnf] kfO{ksf]</t>
  </si>
  <si>
    <r>
      <t xml:space="preserve">k'/fgf] b/jf/sf] jflx/L efudf Pssf]6 r'gf kf]Tg] sfd </t>
    </r>
    <r>
      <rPr>
        <sz val="16"/>
        <rFont val="Preeti"/>
      </rPr>
      <t>.</t>
    </r>
  </si>
  <si>
    <t>8o'/fl;n k]G6 O{6fsf] ufx|f] km];df nufpg] sfd .</t>
  </si>
  <si>
    <t>*o'/fl;n k]]G^</t>
  </si>
  <si>
    <t xml:space="preserve">8o'/fl;n k]G6 </t>
  </si>
  <si>
    <t>lgdf{0f ;fdu|L nufpg] Hofnf ;d]t</t>
  </si>
  <si>
    <r>
      <t>b/ ljZn]if0fsf] nflu !)ld=</t>
    </r>
    <r>
      <rPr>
        <sz val="12"/>
        <rFont val="Arial"/>
        <family val="2"/>
      </rPr>
      <t>x</t>
    </r>
    <r>
      <rPr>
        <sz val="12"/>
        <rFont val="Preeti"/>
      </rPr>
      <t xml:space="preserve"> )=() ld=Ö( a=ld= lnOPsf]</t>
    </r>
  </si>
  <si>
    <t>Np3 RCC Hume pie with collar including 1:4 cement sand mortar 200 mm dia</t>
  </si>
  <si>
    <t>15.0 Ltr electric geyser with all complete set</t>
  </si>
  <si>
    <t>fixing .50mm plain g.I. Sheet for duct.</t>
  </si>
  <si>
    <t>C.P wall mixer with bend pipe Jaquar</t>
  </si>
  <si>
    <t>Construction of 30 user septic tank  all complete work as per drawing and specification.</t>
  </si>
  <si>
    <t>kmdf{sf] sfd @ ld= ;Dd uf]nfO{sf] sf]nd .</t>
  </si>
  <si>
    <t>lhk jf]8{ Kn]g km\n;\ l;lnË ==================================================================================</t>
  </si>
  <si>
    <t xml:space="preserve"> -v_ $ dL=dL   Æ      Æ </t>
  </si>
  <si>
    <t>Poly Fibre Glass</t>
  </si>
  <si>
    <t xml:space="preserve"> -s_ )^ dL=dL= </t>
  </si>
  <si>
    <t>Black Color Glass</t>
  </si>
  <si>
    <t xml:space="preserve">-s_ # dL=dL= </t>
  </si>
  <si>
    <t xml:space="preserve">-v_ $ dL=dL= </t>
  </si>
  <si>
    <t xml:space="preserve">-u_ % dL=dL=   </t>
  </si>
  <si>
    <t xml:space="preserve">-3_ ^ dL=dL=   </t>
  </si>
  <si>
    <t xml:space="preserve">-ª_ * dL=dL= </t>
  </si>
  <si>
    <t xml:space="preserve">-r_ !) dL=dL   </t>
  </si>
  <si>
    <t xml:space="preserve">-5_ !@ dL=dL    </t>
  </si>
  <si>
    <t xml:space="preserve"> -s_ % ld=ld afSnf] </t>
  </si>
  <si>
    <t xml:space="preserve"> -s_ ================== dL=dL= afSnf] </t>
  </si>
  <si>
    <t xml:space="preserve">j=ld= </t>
  </si>
  <si>
    <t xml:space="preserve"> % dL=dL+ df]6f]</t>
  </si>
  <si>
    <t>Corrugated/Plain Fiber Glass Sheet</t>
  </si>
  <si>
    <t xml:space="preserve"> -v_ !=@ dL=dL= df]6f]      Æ     Æ</t>
  </si>
  <si>
    <t xml:space="preserve">  Æ</t>
  </si>
  <si>
    <r>
      <t xml:space="preserve">Heritage Wall Surface Texture (Interior and Exterior) including the cost supplying and fitting </t>
    </r>
    <r>
      <rPr>
        <b/>
        <sz val="12"/>
        <rFont val="Times New Roman"/>
        <family val="1"/>
      </rPr>
      <t>(Heritage Top coat plastic lamination)</t>
    </r>
  </si>
  <si>
    <r>
      <t xml:space="preserve">Supplying and fixing </t>
    </r>
    <r>
      <rPr>
        <b/>
        <sz val="12"/>
        <rFont val="Times New Roman"/>
        <family val="1"/>
      </rPr>
      <t>6 mm thick Flex-O- Board (Water proof cement board)</t>
    </r>
    <r>
      <rPr>
        <sz val="12"/>
        <rFont val="Times New Roman"/>
        <family val="1"/>
      </rPr>
      <t xml:space="preserve"> for false ceiling all complete</t>
    </r>
  </si>
  <si>
    <r>
      <t xml:space="preserve">Supply and fixing of </t>
    </r>
    <r>
      <rPr>
        <b/>
        <sz val="12"/>
        <rFont val="Times New Roman"/>
        <family val="1"/>
      </rPr>
      <t>(40mm thick)aerocon/rapicon prefab panel  cubical partition wall</t>
    </r>
    <r>
      <rPr>
        <sz val="12"/>
        <rFont val="Times New Roman"/>
        <family val="1"/>
      </rPr>
      <t xml:space="preserve"> all complete.</t>
    </r>
  </si>
  <si>
    <r>
      <t xml:space="preserve">Heritage Wall Surface Texture (Interior and Exterior) including the cost supplying and fitting </t>
    </r>
    <r>
      <rPr>
        <b/>
        <sz val="12"/>
        <rFont val="Times New Roman"/>
        <family val="1"/>
      </rPr>
      <t>(Heritage granular)</t>
    </r>
  </si>
  <si>
    <r>
      <t xml:space="preserve">Heritage Wall Surface Texture (Interior and Exterior) including the cost supplying and fitting </t>
    </r>
    <r>
      <rPr>
        <b/>
        <sz val="12"/>
        <rFont val="Times New Roman"/>
        <family val="1"/>
      </rPr>
      <t>(Heritage flakes)</t>
    </r>
  </si>
  <si>
    <t>25 mm thick C.C. Tile (Red color) paving in 1:4 cement mortar</t>
  </si>
  <si>
    <t>25 mm thick C.C. Tile (Grey color) paving in 1:4 cement mortar</t>
  </si>
  <si>
    <r>
      <t xml:space="preserve">Steel Security Gate supply Rainbow Elasto Company </t>
    </r>
    <r>
      <rPr>
        <b/>
        <sz val="12"/>
        <rFont val="Preeti"/>
      </rPr>
      <t>af6</t>
    </r>
    <r>
      <rPr>
        <b/>
        <sz val="12"/>
        <rFont val="Times New Roman"/>
        <family val="1"/>
      </rPr>
      <t xml:space="preserve"> Supply </t>
    </r>
    <r>
      <rPr>
        <b/>
        <sz val="12"/>
        <rFont val="Preeti"/>
      </rPr>
      <t>x'g]</t>
    </r>
  </si>
  <si>
    <r>
      <t xml:space="preserve"> i) Short range wireless intruder Alarm (including Host Unit-1, PIR moton detector-1, Door Sensor-1, Remote Controller -2) (</t>
    </r>
    <r>
      <rPr>
        <sz val="12"/>
        <rFont val="Preeti"/>
      </rPr>
      <t>3/ sDkfp08 ;'/Iff k|lalw</t>
    </r>
    <r>
      <rPr>
        <sz val="10"/>
        <rFont val="Arial"/>
      </rPr>
      <t>)</t>
    </r>
  </si>
  <si>
    <r>
      <t xml:space="preserve"> ii)Long range distance wireless intruder Alarm system(including Host Unit-1, PIR moton detector-3,  Remote Controller -2) (</t>
    </r>
    <r>
      <rPr>
        <sz val="12"/>
        <rFont val="Preeti"/>
      </rPr>
      <t>clkm; tyf Aofkfl/s ;'/Iff k|lalw</t>
    </r>
    <r>
      <rPr>
        <sz val="10"/>
        <rFont val="Arial"/>
      </rPr>
      <t>)</t>
    </r>
  </si>
  <si>
    <r>
      <t xml:space="preserve"> viii) Automatic motor operator for water mo pump (</t>
    </r>
    <r>
      <rPr>
        <sz val="12"/>
        <rFont val="Preeti"/>
      </rPr>
      <t xml:space="preserve">kfgL el/Pkl5 :jrflnt ?kdf </t>
    </r>
    <r>
      <rPr>
        <sz val="12"/>
        <rFont val="Times New Roman"/>
        <family val="1"/>
      </rPr>
      <t>on/off</t>
    </r>
    <r>
      <rPr>
        <sz val="12"/>
        <rFont val="Preeti"/>
      </rPr>
      <t xml:space="preserve"> x'g] k|0ffnL</t>
    </r>
    <r>
      <rPr>
        <sz val="12"/>
        <rFont val="Times New Roman"/>
        <family val="1"/>
      </rPr>
      <t>)</t>
    </r>
  </si>
  <si>
    <t>#=ld</t>
  </si>
  <si>
    <t>O{^f  -d]l;g d]]*_</t>
  </si>
  <si>
    <t>Ps</t>
  </si>
  <si>
    <t>l;d]G6 s+qmL6 ˆnf]l/Ë -!M@M$_ -#* dL=dL=_ =======================================================================</t>
  </si>
  <si>
    <t>sf]7f agfO{ ljleGg lsl;dsf] kmN; l;lnË 7f]Sg]</t>
  </si>
  <si>
    <t xml:space="preserve">!)–!^ s </t>
  </si>
  <si>
    <t>OdN;g k]G6</t>
  </si>
  <si>
    <t xml:space="preserve">jLddf kmdf{ agfpg] sfd -jLdsf] prfO{ )=# dL= b]lv )=* dL= ;Dd_  =============================================================================================    </t>
  </si>
  <si>
    <t xml:space="preserve">6]«Grdf jflnËsf] sfd -ulx/fO{ !=% dL= b]lv # dL= ;Dd_  =============================================================================================   </t>
  </si>
  <si>
    <t>Aluminium casement windows of section (54 x38 x1.1)</t>
  </si>
  <si>
    <r>
      <t xml:space="preserve">%) </t>
    </r>
    <r>
      <rPr>
        <sz val="10"/>
        <rFont val="Arial"/>
        <family val="2"/>
      </rPr>
      <t>X</t>
    </r>
    <r>
      <rPr>
        <sz val="16"/>
        <rFont val="Preeti"/>
      </rPr>
      <t xml:space="preserve"> &amp;% dL=dL= ;fO{hsf] cu|fv sf7sf] ^)) </t>
    </r>
    <r>
      <rPr>
        <sz val="10"/>
        <rFont val="Arial"/>
        <family val="2"/>
      </rPr>
      <t>X</t>
    </r>
    <r>
      <rPr>
        <sz val="16"/>
        <rFont val="Preeti"/>
      </rPr>
      <t xml:space="preserve"> ()) dL= dL= sf] </t>
    </r>
  </si>
  <si>
    <t>b) Φ 26 mm Wire rope</t>
  </si>
  <si>
    <t>c) Φ 32 mm Wire rope</t>
  </si>
  <si>
    <t>d) Φ 36 mm Wire rope</t>
  </si>
  <si>
    <t>e) Φ 40 mm Wire rope</t>
  </si>
  <si>
    <t xml:space="preserve">xv) Wire mesh netting </t>
  </si>
  <si>
    <t>xvi) Sign Board with Fittings (Size - 30cm X 6cm)</t>
  </si>
  <si>
    <t>xvii) Bolts, Nuts &amp; Washers (Galvanised 4.6 grade)</t>
  </si>
  <si>
    <t>xviii) Hot Dip Galvanization</t>
  </si>
  <si>
    <t>xix) Truck Metalled Road</t>
  </si>
  <si>
    <t>KgxKm</t>
  </si>
  <si>
    <t>xx) Truck Non-Metalled Road</t>
  </si>
  <si>
    <t>xxi) Coaltar</t>
  </si>
  <si>
    <t>Lit</t>
  </si>
  <si>
    <t>BASF Concrete Admixtures</t>
  </si>
  <si>
    <t xml:space="preserve"> d]lzgaf6 pTkflbt O+{6f -s / v b'j}sf] Pe/]h</t>
  </si>
  <si>
    <t>Supplying and fixing 6mm.waterproof ply false ceiling on 50x75mm size sal wood of 600x900 panelling all complete</t>
  </si>
  <si>
    <t>Supplying and laying machine made clay tile in 1:4 cement mortar on slope roof properly in line and level all complete.</t>
  </si>
  <si>
    <t xml:space="preserve">Supplying and fixing 6 mm thick Flex-O- Board (Water proof cement board) for false ceiling all complete </t>
  </si>
  <si>
    <t>d]6fnfO{H8 kf]ln:6/ jf]8{ l8hfO{h kmN;\l;lnËsf</t>
  </si>
  <si>
    <t>8o'/fl;n k]G6 O{6fsf] ufx|f] km];df nufpg] sfd =======================================================================</t>
  </si>
  <si>
    <t>af6/ k|'km sDkfp08</t>
  </si>
  <si>
    <t>vGg] sfd !) dL6/ af]sgL l8:kf]hn / !=% dL6/;Dd lnˆ6 ;d]t</t>
  </si>
  <si>
    <t>It is an organic based polymer in liquid form which acts as a plasticizer cum accelerator for concrete/mortar. Higher strength is achieved in a shorter time. It conform IS: 9103:1979 and ASTM C494. Excellent in winter or cold climate.</t>
  </si>
  <si>
    <t>ltr</t>
  </si>
  <si>
    <t>OPAL – PLASTMASTER</t>
  </si>
  <si>
    <t>It is an additive for plaster of walls. Gives excellent workability and smooth finish. Check seepage of water/moisture.</t>
  </si>
  <si>
    <t>OPAL – SP101</t>
  </si>
  <si>
    <t>hu jf vf8naf6 kfgL kDk ug]{ .</t>
  </si>
  <si>
    <t>gf]6 M o;df kl/df0f kDksf] Ifdtf cg';f/ /fVg] .</t>
  </si>
  <si>
    <t>s"lbPsf] ;fn sf&amp;sf] cflv em\ofn jf (f]sf h*fg ;lxt</t>
  </si>
  <si>
    <t>Pk]S; k]G6</t>
  </si>
  <si>
    <t>gS:ff cg';f/ 7fpFdf /fvL afFWg] sfd</t>
  </si>
  <si>
    <t>b/ ljZn]if0fsf] nflu !) j=ld= lnOPsf]</t>
  </si>
  <si>
    <t>b/ ljZn]if0fsf] nflu #) /=dL= lnOPsf]</t>
  </si>
  <si>
    <t>gf]6 M ! s]=hL= sfF8]tf/df !) /=dL= x'g] lx;fj ul/Psf] .</t>
  </si>
  <si>
    <t>swing door</t>
  </si>
  <si>
    <t xml:space="preserve">sf ;/;fdfgx? </t>
  </si>
  <si>
    <t>Aluminium composit panel sheet supplying and fitting all complete work.</t>
  </si>
  <si>
    <t>ALTRONG BRAND</t>
  </si>
  <si>
    <t>3mm. 0.20 Black core</t>
  </si>
  <si>
    <t>3mm.0.25 Black core</t>
  </si>
  <si>
    <t>3mm.0.30 Black core</t>
  </si>
  <si>
    <t>4mm.0.25 Black core</t>
  </si>
  <si>
    <t>4mm.0.30 Black core</t>
  </si>
  <si>
    <t>4mm.0.50Black core</t>
  </si>
  <si>
    <t>4mm.0.25 Vergin core</t>
  </si>
  <si>
    <t>4mm.0.30 Vergin core</t>
  </si>
  <si>
    <t>4mm.0.50 Vergin core</t>
  </si>
  <si>
    <t>Aluminium composit panel 3mm 0.20 black core sheet supplying and fitting all complete work.</t>
  </si>
  <si>
    <t>3mm 0.25 black core</t>
  </si>
  <si>
    <t>Aluminium composit panel 3mm 0.25 black core sheet supplying and fitting all complete work.</t>
  </si>
  <si>
    <t>3mm 0.20 black core</t>
  </si>
  <si>
    <t>Aluminium composit panel 3mm 0.30 black core sheet supplying and fitting all complete work.</t>
  </si>
  <si>
    <t>3mm 0.30 black core</t>
  </si>
  <si>
    <t>Aluminium composit panel 4mm 0.20 black core sheet supplying and fitting all complete work.</t>
  </si>
  <si>
    <t xml:space="preserve">;fdfGo df6f]n] k'g]{ sfd !%, !% ;]=dL= sf] txdf km}nfpg], kfgL 5g]{ / </t>
  </si>
  <si>
    <t>;fdfGo df6f]n] kfgL g5l/sg k'g]{ sfd</t>
  </si>
  <si>
    <t>306f</t>
  </si>
  <si>
    <t>One side lamination Melamined faced (Interiors Grade)</t>
  </si>
  <si>
    <t>Wall panelling ( with wood frame) sisam wood. (75mm*16mm)</t>
  </si>
  <si>
    <t xml:space="preserve">LG Floors Tiles </t>
  </si>
  <si>
    <t xml:space="preserve">L.G. Deco Wood (100x920x3mm) </t>
  </si>
  <si>
    <t xml:space="preserve">Fittings for Tiles </t>
  </si>
  <si>
    <t>c) supply and erection with aerocon p5 wall partition</t>
  </si>
  <si>
    <t>Supply and fixing of aerocon prefab panel. 4ft to 5ft cubical partition etc. all complete.</t>
  </si>
  <si>
    <t>b/ ljZn]if0fsf] nflu ! d]=6g= lnOPsf]</t>
  </si>
  <si>
    <t>b/ k|lt d]=6g= sf]</t>
  </si>
  <si>
    <t xml:space="preserve"> Ordinary type C.P. Pillar cock 15mm dia </t>
  </si>
  <si>
    <t>Plain cement Concrete (PCC) for RCC works (1:1:2) for super structure with approved quality of cement and sand and crushed stone aggregate including mixing, laying, curing etc all complete in approval of site engineer.</t>
  </si>
  <si>
    <t>Plain cement Concrete (PCC) for RCC works (1:1:2) for super structure.</t>
  </si>
  <si>
    <t xml:space="preserve">Tor steel reinforcement bar of fe 415/500 grade including straightening, cleaning, cutting, binding &amp; fixing in position with annealed tying binding wire as per drawing, design &amp; instruction all complete. </t>
  </si>
  <si>
    <t>Tor steel reinforcement bar of fe 415/500 grade.</t>
  </si>
  <si>
    <t>MT</t>
  </si>
  <si>
    <t>Formwork, shuttering, centering with approved materials for all works necessary propping, scaffolding, staging, supporting inclusive of wedging and cutting holes for utilization till the support if fully unyielding nett.</t>
  </si>
  <si>
    <t>Formwork, shuttering, centering with approved materials.</t>
  </si>
  <si>
    <t>Formwork, shuttering, centering with approved materials for column and beam necessary propping, scaffolding, staging, supporting inclusive of wedging and cutting holes for utilization till the support if fully unyielding nett.</t>
  </si>
  <si>
    <t>Formwork, shuttering, centering with approved materials for column and beam .</t>
  </si>
  <si>
    <t>Formwork, shuttering, centering with 19mm thick waterproof ply board and steel post for all works necessary propping, scaffolding, staging, supporting inclusive of wedging and cutting holes for utilization till the support if fully unyielding nett.</t>
  </si>
  <si>
    <t>Fixing wall light single</t>
  </si>
  <si>
    <t>2 gang two way switch</t>
  </si>
  <si>
    <t>point</t>
  </si>
  <si>
    <t>Porcalain clay Comode with cistern with seat cover all complete set.(super constellation type , colour)</t>
  </si>
  <si>
    <t xml:space="preserve"> OVAL  wash basin 55X40mm and  ½"x18" pipe connector etc  all complete. (super constellation type , colour)</t>
  </si>
  <si>
    <t>Construction of 15 user septic tank  all complete work as per drawing and specification.</t>
  </si>
  <si>
    <t>Construction of Rcc ring for soak pit all complete work as per drawing and specification.</t>
  </si>
  <si>
    <t>Electtrical works</t>
  </si>
  <si>
    <t>2x40  Watt F.T.L Box Fitting TMC 501/236 HPF Phillips/Wipro/GE or equivalent</t>
  </si>
  <si>
    <t>Formwork, shuttering, centering with 19mm thick waterproof ply for  beam with steel pipe propping, scaffolding, staging, supporting inclusive of wedging and cutting holes for utilization till the support if fully unyielding nett.</t>
  </si>
  <si>
    <t>Formwork, shuttering, centering with 19mm thick waterproof ply for  beam with steel pipe propping.</t>
  </si>
  <si>
    <t>Formwork, shuttering, centering with 19mm thick waterproof ply for column, necessary propping, scaffolding, staging, supporting inclusive of wedging and cutting holes for utilization till the support if fully unyielding nett.</t>
  </si>
  <si>
    <t>Formwork, shuttering, centering with 19mm thick waterproof ply for column.</t>
  </si>
  <si>
    <t xml:space="preserve">Wooden plank bracingwork  in trench with approved materials for  depth from 1.5 m to less than 3.0m </t>
  </si>
  <si>
    <t>Wooden plank bracing work in 1.5m to 3.0m deep trench.</t>
  </si>
  <si>
    <t xml:space="preserve">Wooden plank bracing work in trench  with approved materials for  depth more than 3.0m </t>
  </si>
  <si>
    <t>Wooden plank bracing work in trench deeper than 3.0m.</t>
  </si>
  <si>
    <t>0.5 mm CGI sheet roofing with proper shape &amp; size, all necessary nails, screws, bolts, nuts washers, J or L hooks etc as per drawing &amp; instruction all complete.</t>
  </si>
  <si>
    <t>0.50mm CGI sheet roofing.</t>
  </si>
  <si>
    <t>:6«Sr/sf] jLdsf] nflu kmdf{ agfpg] sfd 5gf}6 ug]{ h8fg ug]{</t>
  </si>
  <si>
    <t>lsnf nufpg] cfO{lnË eTsfpg] x6fpg] #) dL= ;Dd 9'jfgL ;lxt</t>
  </si>
  <si>
    <t>jLdsf] prfO{ )=#) dL= ;Dd .</t>
  </si>
  <si>
    <t>lsnf nufpg] cfO{lnË eTsfpg] x6fpg] #) dL= ;Dd 9'jfgL ug]{ ;d]t .</t>
  </si>
  <si>
    <t>Providing fitting, fixing in position G.I. under frame, using GYPSTEEL branded</t>
  </si>
  <si>
    <t>sfaf]{/08d 9'+uf</t>
  </si>
  <si>
    <t>nL=</t>
  </si>
  <si>
    <t>sfo{ ;d"x …sÚ M– ;fO{6 ;kmf ug]{ sfd</t>
  </si>
  <si>
    <r>
      <t xml:space="preserve"> </t>
    </r>
    <r>
      <rPr>
        <sz val="14"/>
        <rFont val="Preeti"/>
      </rPr>
      <t>!</t>
    </r>
  </si>
  <si>
    <r>
      <t xml:space="preserve"> </t>
    </r>
    <r>
      <rPr>
        <sz val="14"/>
        <rFont val="Preeti"/>
      </rPr>
      <t>@</t>
    </r>
  </si>
  <si>
    <t>sfo{ ;d"x …vÚ M– df6f] sf6\g] / k'g]{ sfd</t>
  </si>
  <si>
    <r>
      <t xml:space="preserve"> </t>
    </r>
    <r>
      <rPr>
        <sz val="14"/>
        <rFont val="Preeti"/>
      </rPr>
      <t>#</t>
    </r>
  </si>
  <si>
    <t>20 mm thick salwood false ceiling fiting woth 40mmx 20mm bidding joint</t>
  </si>
  <si>
    <t xml:space="preserve">Fixing of glazed shutter in 38x75 mm thick sal wood frame with 5mm thick  plain glass fitting including all necessary hardware fittings all complete. </t>
  </si>
  <si>
    <t>Fixing of glazed shutter in 38x75 mm thick sal wood frame with 5mm thick  plain glass.</t>
  </si>
  <si>
    <t>1 coats of ready made plastic emulsion paint of approved colour over 1 coats of primer Painting over porperly cleaned surface all complete</t>
  </si>
  <si>
    <t>4 kg/cm2 (140 mm) HDP pipe  all complete.</t>
  </si>
  <si>
    <t>4 kg/cm2 (150 mm) HDP pipe  all complete.</t>
  </si>
  <si>
    <t>4 kg/cm2 (180 mm) HDP pipe  all complete.</t>
  </si>
  <si>
    <t>4 kg/cm2 (200 mm) HDP pipe  all complete.</t>
  </si>
  <si>
    <t xml:space="preserve">5 kg fire extinguiser </t>
  </si>
  <si>
    <t>5 kg fire extinguiser.</t>
  </si>
  <si>
    <t xml:space="preserve">560 mm dia 228 kg CI heavy cover </t>
  </si>
  <si>
    <t>560 mm dia 228 kg CI heavy cover.</t>
  </si>
  <si>
    <t>15mm dia Aeroflex Pipe insulation for hot water pipe all complete.</t>
  </si>
  <si>
    <t>25mm dia Aeroflex Pipe insulation for hot water pipe all complete.</t>
  </si>
  <si>
    <t>32mm dia Aeroflex Pipe insulation for hot water pipe all complete.</t>
  </si>
  <si>
    <t>15mm dia CPVC Pipe  SDR 13.5 CTS, 22.5 kg/cm2 includes fixing/laying with necessary fittings  all complete.</t>
  </si>
  <si>
    <t>15mm dia CPVC Pipe  SDR 13.5 CTS includes fixing/laying with necessary fittings  all complete.</t>
  </si>
  <si>
    <t>20 mm dia CPVC Pipe  SDR 13.5 CTS, 22.5 kg/cm2 includes fixing/laying with necessary fittings all complete.</t>
  </si>
  <si>
    <t>15mm dia CPVC Pipe  SDR 13.5 CTS, includes fixing/laying with necessary fittings  all complete.</t>
  </si>
  <si>
    <t>25 mm dia CPVC Pipe  SDR 13.5 CTS, 22.5 kg/cm2 includes fixing/laying with necessary fittings  all complete.</t>
  </si>
  <si>
    <t>15mm dia CPVC Pipe  SDR 13.5 CTS,  includes fixing/laying with necessary fittings  all complete.</t>
  </si>
  <si>
    <t>Making and fitting fixing Plywood Panel door shutter of 38 x 100 mm size sal wood frame with 8 mm thick commercial ply on midle and 4mm thick teak ply on one side including all necessary hardware fitting all complete.</t>
  </si>
  <si>
    <t>Commercial Plywood Panelled door shutter with  one side Teak ply Lamination</t>
  </si>
  <si>
    <t>Indian Godrej Company</t>
  </si>
  <si>
    <t>Door Spring (Door Closer)</t>
  </si>
  <si>
    <t>hydraulic</t>
  </si>
  <si>
    <t>Other Door/Windows fixtures</t>
  </si>
  <si>
    <t>Window I-hook</t>
  </si>
  <si>
    <t>Gate Hook</t>
  </si>
  <si>
    <t>4"</t>
  </si>
  <si>
    <t>5"</t>
  </si>
  <si>
    <t>Door stopper</t>
  </si>
  <si>
    <t>Diamond</t>
  </si>
  <si>
    <t>Butterfly</t>
  </si>
  <si>
    <t>Bell catch 2" size</t>
  </si>
  <si>
    <t>C.P. handle</t>
  </si>
  <si>
    <t xml:space="preserve">Power coated  handle </t>
  </si>
  <si>
    <t>G.I. Mosquito net shutter with diamond chicken wire mesh on 38mm thick seasoned salwood frame.</t>
  </si>
  <si>
    <t xml:space="preserve">Making and fitting of G.I. Mosquito net shutter over existing salwood frame including listi  all complete. </t>
  </si>
  <si>
    <t xml:space="preserve"> G.I. Mosquito net over existing salwood frame.</t>
  </si>
  <si>
    <t xml:space="preserve">Making and fitting of G.I. Mosquito net shutter with 38mm thick seasoned salwood frame including hinges, towerbolts, handles, locking set etc all complete. </t>
  </si>
  <si>
    <t xml:space="preserve"> G.I. Mosquito net shutter with 38mm thick seasoned salwood frame.</t>
  </si>
  <si>
    <t xml:space="preserve">Fixing of 3 mm thick glass on existing fixed frames of windows, ventilators with wooden beading &amp; putty s all complete.  </t>
  </si>
  <si>
    <t>Fixing of 3 mm thick glass on existing fixed frames.</t>
  </si>
  <si>
    <t xml:space="preserve">Fixing of 4 mm thick glass on existing fixed frames of windows, ventilators with wooden beading &amp; putty s all complete.  </t>
  </si>
  <si>
    <t>Fixing of 4 mm thick glass on existing fixed frames.</t>
  </si>
  <si>
    <t xml:space="preserve">xf8{af]8{ tyf cGo kf6L{zgdf $ dL=dL= 6Ls KnfOp8 n]ldg]zg u/L </t>
  </si>
  <si>
    <t>hf]8\g] sfd Pstkm{ dfq .</t>
  </si>
  <si>
    <t>b/ ljZn]if0fsf] nflu ! j=dL= lnOPsf] .</t>
  </si>
  <si>
    <t xml:space="preserve"> l;kfn'</t>
  </si>
  <si>
    <t xml:space="preserve">@% dL=dL= afSnf] df]hfos ˆnf]l/Ë !( dL=dL= l;d]G6 Knfi6/ !M@ efudf u/L </t>
  </si>
  <si>
    <t>To; dfly ^ dL=dL= dfj{n lrK; ;]tf] l;d]G6 !M! efudf nufO{</t>
  </si>
  <si>
    <t xml:space="preserve"> 3f]6\g] / kflnz ug]{ .</t>
  </si>
  <si>
    <t>sf]?u]^]* jf Kn]g kmfO{j/ Unf; kftf 3 ld=ld</t>
  </si>
  <si>
    <t>lh=cfO{= sf+(]tf/ -jf/ j]* jfo/ 7 dL= j/fj/ 1 s]]]hL dfg]sf]_ ldl*od</t>
  </si>
  <si>
    <t>k|dfl)ft b//]^</t>
  </si>
  <si>
    <t>b/ ljZn]if)fsf] nflu</t>
  </si>
  <si>
    <t>;]7</t>
  </si>
  <si>
    <t>ljleGg ;fO{hs]f h]–x's, o'–x's !s]=lh=df !$ j6f dfg]sf]</t>
  </si>
  <si>
    <t xml:space="preserve"> -s_ ^–!) dL= dL= ;fOhsf </t>
  </si>
  <si>
    <t xml:space="preserve"> -v_ !)–@) dL= dL= ;fOhsf </t>
  </si>
  <si>
    <t xml:space="preserve">Fixing of 6 mm thick glass on existing fixed frames of windows, ventilators with wooden beading &amp; putty s all complete.  </t>
  </si>
  <si>
    <t>Fixing of 6 mm thick glass on existing fixed frames.</t>
  </si>
  <si>
    <t>Fitting up the 4mm thick plywood false ceiling in existing wooden frame  all complete.</t>
  </si>
  <si>
    <t>4mm thick plywood false ceiling in existing wooden frame.</t>
  </si>
  <si>
    <t>Partition work with 4mm thick plywood fixed on both side with salwood frame (size 50x75mm)  making 60x90cm room size  all complete.</t>
  </si>
  <si>
    <t>Partition work with 4mm thick plywood fixed on both side with salwood frame (size 50x75mm)  making 60x90cm room size.</t>
  </si>
  <si>
    <t>Partition work with 12mm thick plywood fixed on both side with salwood frame (size 38x75mm)  making 61x91.5cm room size and listi  all complete.</t>
  </si>
  <si>
    <t>Fitting &amp; fixing of water resistance gypsum board false ceiling with all necessary hanger, angles, hooks nut bolt all complete.</t>
  </si>
  <si>
    <t>Fitting &amp; fixing of water resistance gypsum board false ceiling.</t>
  </si>
  <si>
    <t>Fitting &amp; fixing of water resistance gypsum board design false ceiling with all necessary hanger, angles, hooks nut bolt all complete.</t>
  </si>
  <si>
    <r>
      <t xml:space="preserve">Supply and errection of </t>
    </r>
    <r>
      <rPr>
        <b/>
        <sz val="12"/>
        <rFont val="Times New Roman"/>
        <family val="1"/>
      </rPr>
      <t>(75mm thick) aerocon/rapicon prefab panel</t>
    </r>
    <r>
      <rPr>
        <sz val="12"/>
        <rFont val="Times New Roman"/>
        <family val="1"/>
      </rPr>
      <t xml:space="preserve"> in partition wall.all complete</t>
    </r>
  </si>
  <si>
    <r>
      <t xml:space="preserve">Supply and errection of </t>
    </r>
    <r>
      <rPr>
        <b/>
        <sz val="12"/>
        <rFont val="Times New Roman"/>
        <family val="1"/>
      </rPr>
      <t>(50mm thick) aerocon/rapicon prefab panel</t>
    </r>
    <r>
      <rPr>
        <sz val="12"/>
        <rFont val="Times New Roman"/>
        <family val="1"/>
      </rPr>
      <t xml:space="preserve"> in partition wall. All complete</t>
    </r>
  </si>
  <si>
    <r>
      <t xml:space="preserve">Supply and errection of </t>
    </r>
    <r>
      <rPr>
        <b/>
        <sz val="12"/>
        <rFont val="Times New Roman"/>
        <family val="1"/>
      </rPr>
      <t>(40mm thick) aerocon/rapicon prefab panel</t>
    </r>
    <r>
      <rPr>
        <sz val="12"/>
        <rFont val="Times New Roman"/>
        <family val="1"/>
      </rPr>
      <t xml:space="preserve"> in partition wall. All complete</t>
    </r>
  </si>
  <si>
    <r>
      <t xml:space="preserve"> -r_ </t>
    </r>
    <r>
      <rPr>
        <sz val="12"/>
        <rFont val="Times New Roman"/>
        <family val="1"/>
      </rPr>
      <t>Base-course</t>
    </r>
    <r>
      <rPr>
        <sz val="14"/>
        <rFont val="Preeti"/>
      </rPr>
      <t xml:space="preserve"> sf] nflu ldS; ;f]lnË </t>
    </r>
    <r>
      <rPr>
        <sz val="12"/>
        <rFont val="Times New Roman"/>
        <family val="1"/>
      </rPr>
      <t>(WBM)</t>
    </r>
    <r>
      <rPr>
        <sz val="14"/>
        <rFont val="Times New Roman"/>
        <family val="1"/>
      </rPr>
      <t xml:space="preserve"> </t>
    </r>
    <r>
      <rPr>
        <sz val="14"/>
        <rFont val="Preeti"/>
      </rPr>
      <t>ug]{ sfo{</t>
    </r>
  </si>
  <si>
    <r>
      <t xml:space="preserve"> -5_ 9'uf+sf] w'nf] </t>
    </r>
    <r>
      <rPr>
        <sz val="12"/>
        <rFont val="Times New Roman"/>
        <family val="1"/>
      </rPr>
      <t>(Stone dust)</t>
    </r>
  </si>
  <si>
    <r>
      <t xml:space="preserve"> -3_  ^ ld=ld= </t>
    </r>
    <r>
      <rPr>
        <sz val="14"/>
        <rFont val="Times New Roman"/>
        <family val="1"/>
      </rPr>
      <t>down</t>
    </r>
  </si>
  <si>
    <r>
      <t xml:space="preserve">ljleGg ;fOhsf vf]nfsf] </t>
    </r>
    <r>
      <rPr>
        <b/>
        <sz val="14"/>
        <rFont val="Times New Roman"/>
        <family val="1"/>
      </rPr>
      <t xml:space="preserve">Screening </t>
    </r>
    <r>
      <rPr>
        <b/>
        <sz val="14"/>
        <rFont val="Preeti"/>
      </rPr>
      <t xml:space="preserve">u/]sf] </t>
    </r>
    <r>
      <rPr>
        <b/>
        <sz val="14"/>
        <rFont val="Times New Roman"/>
        <family val="1"/>
      </rPr>
      <t>Gravel</t>
    </r>
  </si>
  <si>
    <r>
      <t>5fKg] 9'Ëf -</t>
    </r>
    <r>
      <rPr>
        <b/>
        <sz val="13"/>
        <rFont val="Times New Roman"/>
        <family val="1"/>
      </rPr>
      <t>Flag stone</t>
    </r>
    <r>
      <rPr>
        <b/>
        <sz val="14"/>
        <rFont val="Preeti"/>
      </rPr>
      <t>_</t>
    </r>
  </si>
  <si>
    <r>
      <t xml:space="preserve">        </t>
    </r>
    <r>
      <rPr>
        <sz val="14"/>
        <rFont val="Preeti"/>
      </rPr>
      <t>^</t>
    </r>
    <r>
      <rPr>
        <sz val="14"/>
        <rFont val="Times New Roman"/>
        <family val="1"/>
      </rPr>
      <t>×</t>
    </r>
    <r>
      <rPr>
        <sz val="14"/>
        <rFont val="Preeti"/>
      </rPr>
      <t>@</t>
    </r>
    <r>
      <rPr>
        <sz val="14"/>
        <rFont val="Times New Roman"/>
        <family val="1"/>
      </rPr>
      <t>×</t>
    </r>
    <r>
      <rPr>
        <sz val="14"/>
        <rFont val="Preeti"/>
      </rPr>
      <t>!</t>
    </r>
  </si>
  <si>
    <t>12.5mm thick cement sand plaster in (1:3) ratio on ceiling of good finish including racking the joint, wetting of surfaces &amp; curing the work all complete.</t>
  </si>
  <si>
    <t>12.5mm thick cement sand plaster in (1:3) ratio on ceiling.</t>
  </si>
  <si>
    <t xml:space="preserve">@% dL=dL= afSnf] t]lnof O{6f !M@ ;'sL{ d;nfdf 5fKg] / </t>
  </si>
  <si>
    <t>gf]6 M ! 3=dL= Ö ^$) s]=hL=</t>
  </si>
  <si>
    <t xml:space="preserve">!!–@) </t>
  </si>
  <si>
    <t>Supplying &amp; Painting minium 2 coats of Japanees Texture paint over cement plastered surface including cleaning the surface, preparation all complete an aproved colour as per office.</t>
  </si>
  <si>
    <t>l;d]G6 d;nf -!M^_ tof/ u/L uf/f] nufpg]</t>
  </si>
  <si>
    <t>tof/L Ogfd]n k]G6</t>
  </si>
  <si>
    <t>/=dL=</t>
  </si>
  <si>
    <r>
      <t>a)</t>
    </r>
    <r>
      <rPr>
        <sz val="14"/>
        <rFont val="Times New Roman"/>
        <family val="1"/>
      </rPr>
      <t xml:space="preserve"> </t>
    </r>
    <r>
      <rPr>
        <sz val="13"/>
        <rFont val="Times New Roman"/>
        <family val="1"/>
      </rPr>
      <t>28</t>
    </r>
    <r>
      <rPr>
        <sz val="14"/>
        <rFont val="Preeti"/>
      </rPr>
      <t xml:space="preserve"> u]h</t>
    </r>
    <r>
      <rPr>
        <sz val="14"/>
        <rFont val="Times New Roman"/>
        <family val="1"/>
      </rPr>
      <t xml:space="preserve"> </t>
    </r>
    <r>
      <rPr>
        <sz val="12"/>
        <rFont val="Times New Roman"/>
        <family val="1"/>
      </rPr>
      <t>Light (0.26 mm)</t>
    </r>
  </si>
  <si>
    <r>
      <t>b) 28</t>
    </r>
    <r>
      <rPr>
        <sz val="14"/>
        <rFont val="Preeti"/>
      </rPr>
      <t xml:space="preserve"> u]h</t>
    </r>
    <r>
      <rPr>
        <sz val="11"/>
        <rFont val="Times New Roman"/>
        <family val="1"/>
      </rPr>
      <t xml:space="preserve"> Medium (0.28 mm)</t>
    </r>
    <r>
      <rPr>
        <sz val="12"/>
        <rFont val="Times New Roman"/>
        <family val="1"/>
      </rPr>
      <t xml:space="preserve"> </t>
    </r>
    <r>
      <rPr>
        <sz val="14"/>
        <rFont val="Times New Roman"/>
        <family val="1"/>
      </rPr>
      <t xml:space="preserve">  </t>
    </r>
  </si>
  <si>
    <r>
      <t>c) 28</t>
    </r>
    <r>
      <rPr>
        <sz val="14"/>
        <rFont val="Preeti"/>
      </rPr>
      <t xml:space="preserve"> u]h</t>
    </r>
    <r>
      <rPr>
        <sz val="14"/>
        <rFont val="Times New Roman"/>
        <family val="1"/>
      </rPr>
      <t xml:space="preserve"> </t>
    </r>
    <r>
      <rPr>
        <sz val="12"/>
        <rFont val="Times New Roman"/>
        <family val="1"/>
      </rPr>
      <t>Heavy (.030 mm)</t>
    </r>
    <r>
      <rPr>
        <sz val="14"/>
        <rFont val="Times New Roman"/>
        <family val="1"/>
      </rPr>
      <t xml:space="preserve"> </t>
    </r>
  </si>
  <si>
    <r>
      <t>a)</t>
    </r>
    <r>
      <rPr>
        <sz val="14"/>
        <rFont val="Times New Roman"/>
        <family val="1"/>
      </rPr>
      <t xml:space="preserve"> </t>
    </r>
    <r>
      <rPr>
        <sz val="13"/>
        <rFont val="Times New Roman"/>
        <family val="1"/>
      </rPr>
      <t>26</t>
    </r>
    <r>
      <rPr>
        <sz val="14"/>
        <rFont val="Preeti"/>
      </rPr>
      <t xml:space="preserve"> u]h</t>
    </r>
    <r>
      <rPr>
        <sz val="14"/>
        <rFont val="Times New Roman"/>
        <family val="1"/>
      </rPr>
      <t xml:space="preserve"> </t>
    </r>
    <r>
      <rPr>
        <sz val="12"/>
        <rFont val="Times New Roman"/>
        <family val="1"/>
      </rPr>
      <t>Light (0.35 mm)</t>
    </r>
  </si>
  <si>
    <r>
      <t>b) 26</t>
    </r>
    <r>
      <rPr>
        <sz val="14"/>
        <rFont val="Preeti"/>
      </rPr>
      <t xml:space="preserve"> u]h</t>
    </r>
    <r>
      <rPr>
        <sz val="14"/>
        <rFont val="Times New Roman"/>
        <family val="1"/>
      </rPr>
      <t xml:space="preserve"> </t>
    </r>
    <r>
      <rPr>
        <sz val="11"/>
        <rFont val="Times New Roman"/>
        <family val="1"/>
      </rPr>
      <t>Medium</t>
    </r>
    <r>
      <rPr>
        <sz val="12"/>
        <rFont val="Times New Roman"/>
        <family val="1"/>
      </rPr>
      <t xml:space="preserve"> (0.36 mm)</t>
    </r>
  </si>
  <si>
    <r>
      <t>c) 26</t>
    </r>
    <r>
      <rPr>
        <sz val="14"/>
        <rFont val="Preeti"/>
      </rPr>
      <t xml:space="preserve"> u]h</t>
    </r>
    <r>
      <rPr>
        <sz val="14"/>
        <rFont val="Times New Roman"/>
        <family val="1"/>
      </rPr>
      <t xml:space="preserve"> </t>
    </r>
    <r>
      <rPr>
        <sz val="12"/>
        <rFont val="Times New Roman"/>
        <family val="1"/>
      </rPr>
      <t>Heavy (0.41 mm)</t>
    </r>
    <r>
      <rPr>
        <sz val="14"/>
        <rFont val="Times New Roman"/>
        <family val="1"/>
      </rPr>
      <t xml:space="preserve">  </t>
    </r>
  </si>
  <si>
    <r>
      <t>a)</t>
    </r>
    <r>
      <rPr>
        <sz val="14"/>
        <rFont val="Times New Roman"/>
        <family val="1"/>
      </rPr>
      <t xml:space="preserve"> </t>
    </r>
    <r>
      <rPr>
        <sz val="13"/>
        <rFont val="Times New Roman"/>
        <family val="1"/>
      </rPr>
      <t>24</t>
    </r>
    <r>
      <rPr>
        <sz val="14"/>
        <rFont val="Preeti"/>
      </rPr>
      <t xml:space="preserve"> u]h</t>
    </r>
    <r>
      <rPr>
        <sz val="14"/>
        <rFont val="Times New Roman"/>
        <family val="1"/>
      </rPr>
      <t xml:space="preserve"> </t>
    </r>
    <r>
      <rPr>
        <sz val="12"/>
        <rFont val="Times New Roman"/>
        <family val="1"/>
      </rPr>
      <t>Light (0.45 mm)</t>
    </r>
  </si>
  <si>
    <r>
      <t>b) 24</t>
    </r>
    <r>
      <rPr>
        <sz val="14"/>
        <rFont val="Preeti"/>
      </rPr>
      <t xml:space="preserve"> u]h</t>
    </r>
    <r>
      <rPr>
        <sz val="14"/>
        <rFont val="Times New Roman"/>
        <family val="1"/>
      </rPr>
      <t xml:space="preserve"> </t>
    </r>
    <r>
      <rPr>
        <sz val="11"/>
        <rFont val="Times New Roman"/>
        <family val="1"/>
      </rPr>
      <t>Medium (0.50 mm)</t>
    </r>
  </si>
  <si>
    <r>
      <t>c) 24</t>
    </r>
    <r>
      <rPr>
        <sz val="14"/>
        <rFont val="Preeti"/>
      </rPr>
      <t xml:space="preserve"> u|]h </t>
    </r>
    <r>
      <rPr>
        <sz val="14"/>
        <rFont val="Times New Roman"/>
        <family val="1"/>
      </rPr>
      <t xml:space="preserve"> </t>
    </r>
    <r>
      <rPr>
        <sz val="12"/>
        <rFont val="Times New Roman"/>
        <family val="1"/>
      </rPr>
      <t>Heavy</t>
    </r>
    <r>
      <rPr>
        <sz val="14"/>
        <rFont val="Times New Roman"/>
        <family val="1"/>
      </rPr>
      <t xml:space="preserve"> </t>
    </r>
    <r>
      <rPr>
        <sz val="12"/>
        <rFont val="Times New Roman"/>
        <family val="1"/>
      </rPr>
      <t>(0.52 mm)</t>
    </r>
  </si>
  <si>
    <r>
      <t xml:space="preserve"> -u_ UofNefgfOH8 sf]?u]6]8 h:tfkftf </t>
    </r>
    <r>
      <rPr>
        <b/>
        <sz val="14"/>
        <rFont val="Times New Roman"/>
        <family val="1"/>
      </rPr>
      <t>(G C Sheet)</t>
    </r>
  </si>
  <si>
    <r>
      <t>h:tf kftf sf] w'/L</t>
    </r>
    <r>
      <rPr>
        <sz val="14"/>
        <rFont val="Preeti"/>
      </rPr>
      <t xml:space="preserve"> </t>
    </r>
    <r>
      <rPr>
        <sz val="14"/>
        <rFont val="Times New Roman"/>
        <family val="1"/>
      </rPr>
      <t>(Ridge Cover) Specified  thickness are thickness of base metal.</t>
    </r>
  </si>
  <si>
    <r>
      <t xml:space="preserve">a) 28 </t>
    </r>
    <r>
      <rPr>
        <sz val="14"/>
        <rFont val="Preeti"/>
      </rPr>
      <t>u]h</t>
    </r>
    <r>
      <rPr>
        <sz val="12"/>
        <rFont val="Times New Roman"/>
        <family val="1"/>
      </rPr>
      <t xml:space="preserve"> Light  </t>
    </r>
  </si>
  <si>
    <r>
      <t xml:space="preserve">b) 28 </t>
    </r>
    <r>
      <rPr>
        <sz val="14"/>
        <rFont val="Preeti"/>
      </rPr>
      <t>u]h</t>
    </r>
    <r>
      <rPr>
        <sz val="12"/>
        <rFont val="Times New Roman"/>
        <family val="1"/>
      </rPr>
      <t xml:space="preserve"> Medium</t>
    </r>
  </si>
  <si>
    <r>
      <t xml:space="preserve">c) 28 </t>
    </r>
    <r>
      <rPr>
        <sz val="14"/>
        <rFont val="Preeti"/>
      </rPr>
      <t>u]h</t>
    </r>
    <r>
      <rPr>
        <sz val="12"/>
        <rFont val="Times New Roman"/>
        <family val="1"/>
      </rPr>
      <t xml:space="preserve"> Heavy</t>
    </r>
    <r>
      <rPr>
        <sz val="14"/>
        <rFont val="Times New Roman"/>
        <family val="1"/>
      </rPr>
      <t xml:space="preserve">      </t>
    </r>
  </si>
  <si>
    <r>
      <t xml:space="preserve">a) 26 </t>
    </r>
    <r>
      <rPr>
        <sz val="14"/>
        <rFont val="Preeti"/>
      </rPr>
      <t>u]h</t>
    </r>
    <r>
      <rPr>
        <sz val="12"/>
        <rFont val="Times New Roman"/>
        <family val="1"/>
      </rPr>
      <t xml:space="preserve"> Light</t>
    </r>
  </si>
  <si>
    <r>
      <t xml:space="preserve">b) 26 </t>
    </r>
    <r>
      <rPr>
        <sz val="14"/>
        <rFont val="Preeti"/>
      </rPr>
      <t>u]h</t>
    </r>
    <r>
      <rPr>
        <sz val="12"/>
        <rFont val="Times New Roman"/>
        <family val="1"/>
      </rPr>
      <t xml:space="preserve"> Medium</t>
    </r>
  </si>
  <si>
    <t xml:space="preserve">Supply and fixing of Flex-O Board , False Ceiling  Materials without framing  and fitting charge etc. </t>
  </si>
  <si>
    <t>1220×610×6mm th, 100% water proof cement  board for false ceiling purpose.</t>
  </si>
  <si>
    <t>Supply and errection of aerocon/rapicon prefab panel in partition wall.</t>
  </si>
  <si>
    <t>75 mm thick</t>
  </si>
  <si>
    <t>50 mm thick</t>
  </si>
  <si>
    <t>40 mm thick</t>
  </si>
  <si>
    <t>Supply and fixing of aerocon/rapicon prefab panel  cubical partition wall all complete.</t>
  </si>
  <si>
    <t xml:space="preserve">   M kmnfd] af]N6 M !% k6s;dd k|of]u ug{ ;lsg] To;kl5 @%Ü d"No afFsL /xg] lx;fan] ul/Psf] </t>
  </si>
  <si>
    <t>4.62/6x0.90=0.693</t>
  </si>
  <si>
    <t>gf]6M !=)) j=dL= Ö !^=!$ s]]=hL=</t>
  </si>
  <si>
    <t>gf]6 M ! Jf=dL= Ö @!=%) s]=hL= lnPsf] .</t>
  </si>
  <si>
    <t>kmf]dfO{sf</t>
  </si>
  <si>
    <t>;gdfO{sf</t>
  </si>
  <si>
    <t>l6s KnfO{p8 n]ldg];g u/L hf]lt{df sf7sf] lni6L nufO{ kfl6{;g ug]{ .</t>
  </si>
  <si>
    <t>$ dL=dL=l6s KnfO{</t>
  </si>
  <si>
    <t>s]=hL</t>
  </si>
  <si>
    <r>
      <t xml:space="preserve">$=% </t>
    </r>
    <r>
      <rPr>
        <sz val="10"/>
        <rFont val="Arial"/>
        <family val="2"/>
      </rPr>
      <t>X</t>
    </r>
    <r>
      <rPr>
        <sz val="13"/>
        <rFont val="Preeti"/>
      </rPr>
      <t xml:space="preserve"> @) dL=dL kmnfd] kQL] </t>
    </r>
  </si>
  <si>
    <r>
      <t xml:space="preserve">!@ </t>
    </r>
    <r>
      <rPr>
        <sz val="13"/>
        <rFont val="Arial"/>
        <family val="2"/>
      </rPr>
      <t>x</t>
    </r>
    <r>
      <rPr>
        <sz val="13"/>
        <rFont val="Preeti"/>
      </rPr>
      <t xml:space="preserve"> !@ dL=dL=;f]ln8 sf]/ :Sjfo/ /8sf]</t>
    </r>
  </si>
  <si>
    <t>sf] tof/L /]lnË</t>
  </si>
  <si>
    <t>b/ /]6 k|lt j=dL=sf]</t>
  </si>
  <si>
    <t>Liquid additive and bonding agent for water resistant cement mortar. It is specially formulated liquid polymer additive for use with cement and sand for form mortars having high bond strength and water proofing proportions for the laying of ceramic, mosai</t>
  </si>
  <si>
    <t>OPAL – CONCOAT</t>
  </si>
  <si>
    <t>Protective Coating for reinforced concrete. It is protective coating, which in extremely useful in increasing the life of reinforced cement concrete structures. It protects the RCC from CO2, oxygen, water and other damaging elements in the air.</t>
  </si>
  <si>
    <t>OPAL JOINT SET</t>
  </si>
  <si>
    <t>POLY - SULPHIDE SEALANT</t>
  </si>
  <si>
    <r>
      <t xml:space="preserve">)=%) </t>
    </r>
    <r>
      <rPr>
        <sz val="12"/>
        <rFont val="Arial"/>
        <family val="2"/>
      </rPr>
      <t xml:space="preserve">Plain </t>
    </r>
    <r>
      <rPr>
        <sz val="12"/>
        <rFont val="Preeti"/>
      </rPr>
      <t>zL6</t>
    </r>
  </si>
  <si>
    <t>sf7df8f}+ / nlntk'/ lhNnfsf] nflu</t>
  </si>
  <si>
    <r>
      <t>xi)</t>
    </r>
    <r>
      <rPr>
        <sz val="14"/>
        <rFont val="Preeti"/>
      </rPr>
      <t xml:space="preserve"> </t>
    </r>
    <r>
      <rPr>
        <sz val="12"/>
        <rFont val="Preeti"/>
      </rPr>
      <t>ljz]if k|sf/sf]</t>
    </r>
    <r>
      <rPr>
        <sz val="14"/>
        <rFont val="Preeti"/>
      </rPr>
      <t xml:space="preserve"> </t>
    </r>
    <r>
      <rPr>
        <sz val="12"/>
        <rFont val="Preeti"/>
      </rPr>
      <t>s'FlbPsf] ;fnsf] sf7sf] cfFvL em\ofn tof/L</t>
    </r>
  </si>
  <si>
    <t>!^ dL=dL=u|]gfO{6, @) dL=dL= afSnf] !M@ efusf] l;d]G6 d;nfdf 5fkL 3f]6\g] / kflnz ;d]t ug]{ . ================================================================</t>
  </si>
  <si>
    <t>leQf Pj+ l;lnËdf Kn]g XjfO{6 kl§ Knf:6/ ug]{ sfo{ . ==========================</t>
  </si>
  <si>
    <t>!@ dL=dL= jfSnf] !)) dL=dL=prfO{sf] sf7sf] kfs]{6n] sf]7fx?df :sl6ª ug]{ sfd . ========================================================================================</t>
  </si>
  <si>
    <t>Supplying &amp; Painting minium 2 coats of Japanees Texture paint over cement plastered surface including cleaning the surface, preparation all complete an aproved colour as per office. …………………………</t>
  </si>
  <si>
    <r>
      <t xml:space="preserve">%) </t>
    </r>
    <r>
      <rPr>
        <sz val="10"/>
        <rFont val="Arial"/>
        <family val="2"/>
      </rPr>
      <t>X</t>
    </r>
    <r>
      <rPr>
        <sz val="16"/>
        <rFont val="Preeti"/>
      </rPr>
      <t xml:space="preserve"> &amp;% dL=dL= ;fO{hsf] cu|fv sf7sf] ^)) </t>
    </r>
    <r>
      <rPr>
        <sz val="10"/>
        <rFont val="Arial"/>
        <family val="2"/>
      </rPr>
      <t>X</t>
    </r>
    <r>
      <rPr>
        <sz val="16"/>
        <rFont val="Preeti"/>
      </rPr>
      <t xml:space="preserve"> ()) dL= dL= sf] sf]7f agfO{ ljleGg lsl;dsf] kmN; l;lnË 7f]Sg] ^ dL=dL= jf6/k|'km KnfO{p8 ==================================================================</t>
    </r>
  </si>
  <si>
    <t>Mention rates are including supplying of necessary chemicals, labour and applying as per manufacturer specifications or as per consultant's direction.</t>
  </si>
  <si>
    <t>Ps sf]6 afg]{; nufpg] sfd =============================================================================</t>
  </si>
  <si>
    <t>Psftkm{ $ dL=dL= l6sKnfO{p8 n]ldg]6 u/L KnfO{sf] l8nfvfkf agfO{ h8fg ug]{ .</t>
  </si>
  <si>
    <t>cf/=;L=;L= jf cf/= lj=;L= eTsfpg] sfd =======================================================================</t>
  </si>
  <si>
    <t>kL=;L=;L= jf Pn=;L=;L= eTsfpg] sfd =======================================================================</t>
  </si>
  <si>
    <t>e'O{tNnfdf lrDgL e§fsf] O{6f pknAw ug]{,</t>
  </si>
  <si>
    <t>l;d]G6 d;nf -!M#_ tof/ u/L uf/f] nufpg]</t>
  </si>
  <si>
    <r>
      <t xml:space="preserve">b/ ljZn]if0fsf] nflu !) </t>
    </r>
    <r>
      <rPr>
        <sz val="11"/>
        <rFont val="Arial"/>
        <family val="2"/>
      </rPr>
      <t>x</t>
    </r>
    <r>
      <rPr>
        <sz val="11"/>
        <rFont val="Preeti"/>
      </rPr>
      <t xml:space="preserve"> )=(!%</t>
    </r>
    <r>
      <rPr>
        <sz val="10"/>
        <rFont val="Arial"/>
        <family val="2"/>
      </rPr>
      <t>=</t>
    </r>
    <r>
      <rPr>
        <sz val="11"/>
        <rFont val="Preeti"/>
      </rPr>
      <t xml:space="preserve"> (=!% j=dL= lnOPsf]</t>
    </r>
  </si>
  <si>
    <t>r]K6f] O{6f -!M^_ l;d]G6 afn'jfdf 5fkL !M@ l;d]G6, afn'jf</t>
  </si>
  <si>
    <t>hf]gL{df l6Ksf/ ug]{ sfd .</t>
  </si>
  <si>
    <t xml:space="preserve"> O{6f</t>
  </si>
  <si>
    <t>gf]6 M lrDgL e§fsf] O{6f .</t>
  </si>
  <si>
    <t>!!–!#</t>
  </si>
  <si>
    <t>7f8f] O{6f -!M^_ l;d]G6 afn'jfdf 5fkL !M@ l;d]G6, afn'jf</t>
  </si>
  <si>
    <t>vfS;L</t>
  </si>
  <si>
    <t>Ps sf]6 c:t/ u/L b'O{ sf]6 tof/L PNo"ldlgod k]G6 ug]{ .</t>
  </si>
  <si>
    <t xml:space="preserve">jf;]jn l8:6]Dk/ </t>
  </si>
  <si>
    <t xml:space="preserve"> Ps sf]6 k|fO{d/ ;lxt b'O{ sf]6 tof/L jf;]jn l8:6]Dk/ nufpg] sfd .</t>
  </si>
  <si>
    <t>Decorative epoxy coating with perma plaster putty on celing and wall all complete 200 micron. (for pharmaceutical and hospitals floor)</t>
  </si>
  <si>
    <t xml:space="preserve">6]«Grdf jflnËsf] sfd -ulx/fO{ # dL= eGbf j9L_  =============================================================================================   </t>
  </si>
  <si>
    <t>cfNd'lgod k]G6</t>
  </si>
  <si>
    <t xml:space="preserve">e'O{+tNnfdf lrDgL e§fsf] O{+6fsf] uf/f] l;d]G6 d;nf -!M$_ df  =============================================================================================   </t>
  </si>
  <si>
    <t xml:space="preserve">e'O{+tNnfeGbf dfly lrDgL e§fsf] O{+6fsf] uf/f] l;d]G6 d;nf -!M$_ df  =============================================================================================   </t>
  </si>
  <si>
    <t>b'O{ sf]6 l8:6]Dk/ /+u nufpg] sfd =======================================================================</t>
  </si>
  <si>
    <t>Ps sf]6 jf6/ k|'km l;d]G6 sf]6 nufpg] sfd =======================================================================</t>
  </si>
  <si>
    <t>b'O{ sf]6 jf6/ k|'km l;d]G6 sf]6 nufpg] sfd =======================================================================</t>
  </si>
  <si>
    <t xml:space="preserve">$)Ü lu§L ^)Ü afn'jf ld&gt;0fsf] lkmN6/ k|of]hg </t>
  </si>
  <si>
    <t>Brass coated handle</t>
  </si>
  <si>
    <t>Door stopper, single brass stopper</t>
  </si>
  <si>
    <t>Door stopper double brass stopper</t>
  </si>
  <si>
    <t>lalaw ;fdfu|Lx?</t>
  </si>
  <si>
    <t>Hold fast different sizes (7 nos./Kg.)</t>
  </si>
  <si>
    <t>Nails (different sizes)</t>
  </si>
  <si>
    <t xml:space="preserve">Nut and Bolts </t>
  </si>
  <si>
    <t>Nut and Bolts (different sizes)</t>
  </si>
  <si>
    <t>Wooden Listy 3/4" wide</t>
  </si>
  <si>
    <t>Wooden Listy 3/4" wide decorative</t>
  </si>
  <si>
    <t xml:space="preserve">s]hL </t>
  </si>
  <si>
    <t xml:space="preserve"> @Æ ;fOh ?lkmË g]N; </t>
  </si>
  <si>
    <t>#Æ ;fOh ?lkmË g]N;</t>
  </si>
  <si>
    <t>Screw  Brass</t>
  </si>
  <si>
    <t>20mm</t>
  </si>
  <si>
    <t>25mm</t>
  </si>
  <si>
    <t>35mm</t>
  </si>
  <si>
    <t>50mm</t>
  </si>
  <si>
    <t>75mm</t>
  </si>
  <si>
    <t>Screw  Steel</t>
  </si>
  <si>
    <t>/f]n</t>
  </si>
  <si>
    <t>!*–@) lkm6 nfdf] afF;</t>
  </si>
  <si>
    <t>h'6 jf kf]lnlygsf] vfnL af]/f</t>
  </si>
  <si>
    <t xml:space="preserve">uf]6f  </t>
  </si>
  <si>
    <t>Dff6f]</t>
  </si>
  <si>
    <t>3=ld=</t>
  </si>
  <si>
    <t>e';</t>
  </si>
  <si>
    <t>uf]j/</t>
  </si>
  <si>
    <t>Marble Chips</t>
  </si>
  <si>
    <t xml:space="preserve"> -s_ ;]tf] /+usf] dfa{n lrK; -@% s]=lh= k|lt af]/f_</t>
  </si>
  <si>
    <t>af]/f</t>
  </si>
  <si>
    <t xml:space="preserve"> -v_ /+uLg dfa{n lrK; -@% s]=lh=_ k|lt af]/f</t>
  </si>
  <si>
    <t xml:space="preserve"> -u_ qm]hL dfa{n -^ ju{ lkm6 k|lt af]/f_</t>
  </si>
  <si>
    <t xml:space="preserve"> -3_ dfa{n kfp8/ -@% s]=lh= k|lt af]/f_</t>
  </si>
  <si>
    <t xml:space="preserve">Æ </t>
  </si>
  <si>
    <t>Godabari Marble in different sizes</t>
  </si>
  <si>
    <t>kfln; u/]sf] . -ld// kf]ln:8 _</t>
  </si>
  <si>
    <t xml:space="preserve"> -ª_  -!%×!%_ ;]=ld= </t>
  </si>
  <si>
    <t>kfln; gu/]sf] . - Snfl;s dfj{n _</t>
  </si>
  <si>
    <t>Marble Rajasthani</t>
  </si>
  <si>
    <t>!^ dL=dL afSnf] /fh:yfgL</t>
  </si>
  <si>
    <t>a=lkm=</t>
  </si>
  <si>
    <t>!^ dL=dL afSnf] u]|gfO6</t>
  </si>
  <si>
    <t>!( dL=dL afSnf] u]|gfO6</t>
  </si>
  <si>
    <t>Porcelain Glazed/Terrazo Mosaic Tiles</t>
  </si>
  <si>
    <t>Terrazo Mosaic Tiles</t>
  </si>
  <si>
    <t>Porcelain Glazed Tiles</t>
  </si>
  <si>
    <t>Spainish Ceramic Wall Tile (31*45cm)</t>
  </si>
  <si>
    <t>Spainish Ceramic Border Tile (31*45cm)</t>
  </si>
  <si>
    <t>Spainish Ceramic Floor Tile (31*45cm)</t>
  </si>
  <si>
    <t>/+u/f]ugsf ;fdfgx?</t>
  </si>
  <si>
    <t>-s_ s[lif r'gaf6 pTkflbt ;]tf] r'g</t>
  </si>
  <si>
    <t>-v_ ljleGg k|sf/sf] /+lug r'g</t>
  </si>
  <si>
    <t>-u_ ljleGg k|sf/sf] ef/lto r'g /+lug</t>
  </si>
  <si>
    <t>-ª_ ;fwf/0f ;]Gy]l6s Ogfd]n k]G6</t>
  </si>
  <si>
    <t>ln6/</t>
  </si>
  <si>
    <t>r_ g]kfn /]8sf] Dof6 lkmlgl;Ë</t>
  </si>
  <si>
    <t>-em_ tof/L cNd'lgod k]G6</t>
  </si>
  <si>
    <t>-`_ tof/L jfg]{;</t>
  </si>
  <si>
    <t>-6_ tof/L jfg]{/ ;]Gy]l6s</t>
  </si>
  <si>
    <t>-7_ ef/lto lyg/</t>
  </si>
  <si>
    <t xml:space="preserve">8_ p8 P08 Unf; k'l6g </t>
  </si>
  <si>
    <t xml:space="preserve">9_ d]6n k'l6g </t>
  </si>
  <si>
    <t xml:space="preserve">!)–!@ </t>
  </si>
  <si>
    <t>l;d]G6 3f]6L tof/ ug]{ .</t>
  </si>
  <si>
    <t xml:space="preserve">%) dL=dL= -@Æ_ afSnf] l;d]G6 s+qmL6 -!M@M$_ ˆnf]/ 9nfg u/L </t>
  </si>
  <si>
    <r>
      <t>#* dL=dL= -!</t>
    </r>
    <r>
      <rPr>
        <sz val="16"/>
        <rFont val="Sama"/>
        <family val="5"/>
      </rPr>
      <t>½</t>
    </r>
    <r>
      <rPr>
        <sz val="16"/>
        <rFont val="Preeti"/>
      </rPr>
      <t xml:space="preserve">Æ_ afSnf] l;d]G6 s+qmL6 -!M@M$_ ˆnf]/ 9nfg u/L </t>
    </r>
  </si>
  <si>
    <t>!!–! 3</t>
  </si>
  <si>
    <t xml:space="preserve">&amp;% dL=dL= -#Æ_ afSnf] l;d]G6 s+qmL6 -!M@M$_ ˆnf]/ 9nfg u/L </t>
  </si>
  <si>
    <t>!!–@</t>
  </si>
  <si>
    <t>It is as polymer modified cementitious coating acrylic water proofing system for a varied number of applications in water proofing and corrosion control. This is two pack systems, which when applied after mixing, gives a flexible coating. Very effective h</t>
  </si>
  <si>
    <t>OPAL – BOND REPAIR</t>
  </si>
  <si>
    <t xml:space="preserve">s_ d]lzgaf6 pTkflbt Sn] 6fon </t>
  </si>
  <si>
    <t xml:space="preserve">v_ lrDgL e§fsf] Sn] 6fon </t>
  </si>
  <si>
    <t>L.G. Deluxe Tiles (300x300x2mm)</t>
  </si>
  <si>
    <t>L.G. Deco Tiles (450x450x3mm)</t>
  </si>
  <si>
    <t>3=lkm=</t>
  </si>
  <si>
    <t>-v_ e};]kf6L, dxfb]j j];Lsf] vf]nfsf] u|fe]n</t>
  </si>
  <si>
    <t>-u_ vfgLsf] u|fe]n -l6sfe}/j_ cfbL</t>
  </si>
  <si>
    <t xml:space="preserve"> -3_ vf]nf÷vfgLsf] :yfgLo u|fe]n</t>
  </si>
  <si>
    <t>qm;/af6 pTkflbt /f]8f</t>
  </si>
  <si>
    <t>s]=hL=</t>
  </si>
  <si>
    <t>sf]nd -kf]i6_ kmdf{ nufpgnfO{ v8f ug]{, sfd ldnfpg], lsnf nufpg]</t>
  </si>
  <si>
    <t xml:space="preserve">   b)  Do but for design ceiling</t>
  </si>
  <si>
    <t xml:space="preserve"> -u_ @)–$) dL= dL= ;fOhsf] </t>
  </si>
  <si>
    <t xml:space="preserve"> -ª_ #–^ dL= dL= ;fOhsf] </t>
  </si>
  <si>
    <t xml:space="preserve">s_ $)– *) dL=dL </t>
  </si>
  <si>
    <t xml:space="preserve">3=lkm </t>
  </si>
  <si>
    <t xml:space="preserve">v_ @)– $) dL=dL </t>
  </si>
  <si>
    <t xml:space="preserve">u_ !)– @)  dL=dL </t>
  </si>
  <si>
    <t xml:space="preserve">3_ %– !)  dL=dL </t>
  </si>
  <si>
    <t>km'6fn]sf] 9'Ëfsf] lu§L</t>
  </si>
  <si>
    <t xml:space="preserve">;fnsf] sf7n] qm; kfl6{;g u/L !@ dL=dL=sdl;{on KnfO{p8df Psftkm{ $ dL=dL=sf]  </t>
  </si>
  <si>
    <r>
      <t>@=% ;]=dL= df]6fO{ l;d]G6 s+qmL6 -!M!</t>
    </r>
    <r>
      <rPr>
        <sz val="16"/>
        <rFont val="Sama"/>
        <family val="5"/>
      </rPr>
      <t>½</t>
    </r>
    <r>
      <rPr>
        <sz val="16"/>
        <rFont val="Preeti"/>
      </rPr>
      <t>M#_ 8]Dk k|'kmLË ug]{ .</t>
    </r>
  </si>
  <si>
    <t>!@ dL=dL= /f]8f</t>
  </si>
  <si>
    <t>#=* ;]=dL= df]6fO{ l;d]G6 s+qmL6 -!M@M$_ 8]Dk k|'kmLË ug]{ .</t>
  </si>
  <si>
    <t>Ps sf]6 lj6'ldg k]G6 8]Dk k|'km sf];{df nufO{ afn'jfn] 5f]Kg] .</t>
  </si>
  <si>
    <t>lj6'ldg</t>
  </si>
  <si>
    <t>v&gt;f] afn'jf vf]nf</t>
  </si>
  <si>
    <t>bfp/f</t>
  </si>
  <si>
    <t>Ps tx 6f/km]N6 nufpg] sfd .</t>
  </si>
  <si>
    <t>Hofldåf/f sDk}S6 ug]{ sfd ;d]t !) dL= b"/Laf6 9'jfgL ug]{ ;fy} l/Ë/f]8;Ddsf] df6f]sf] d"No ;d]t</t>
  </si>
  <si>
    <t>gf]6 M o;df Kn]gl;6sf] rf}8fO @Ú cGbfh ul/Psf] ._</t>
  </si>
  <si>
    <t>-&gt;lds (–@ cg';f/ lnOPsf] o;df Kn]g l;6sf] rf}8fO{ )=^) dL= cGbfh ul/Psf] _</t>
  </si>
  <si>
    <t>v6sf] ;fdfg</t>
  </si>
  <si>
    <t xml:space="preserve">tof/L </t>
  </si>
  <si>
    <t>k'/fgf] b/jf/sf] jflx/L efudf Pssf]6 /fdltnsn] kf]Tg] sfd  =======================================================================</t>
  </si>
  <si>
    <t>It is modified sulphonated naphthalene formaldehyde plasticize-cum-retarder for concrete. It is a dark brown liquid. Water reducing up to 25% can be achieved.</t>
  </si>
  <si>
    <t>Sq.ft.</t>
  </si>
  <si>
    <t>OPAL – CEMCURE</t>
  </si>
  <si>
    <t>It is water based emulsion to be applied by brush or spray on fresh concrete surface to remain water in concrete. Suitable for use where curing by water in not possible, or in hot climate.</t>
  </si>
  <si>
    <t>OPAL – AE PLAST</t>
  </si>
  <si>
    <t>An air entraining concrete admixture used for increasing crack resistance, frost resistance etc.</t>
  </si>
  <si>
    <t>OPAL – TILEBOND LIQUID</t>
  </si>
  <si>
    <t>-o;df b/ ljZn]if0f gd{;sf] qm=;+= !! -^_ kfgf g+= !)@ df pNn]lvt ljj/0fnfO{ cfwf/ dfgL ljZn]if0f ul/Psf] 5 ._</t>
  </si>
  <si>
    <t xml:space="preserve">cShflns Pl;8 </t>
  </si>
  <si>
    <t>sfjf]{/]08d 9'+uf</t>
  </si>
  <si>
    <t>b/ k|lt !) j=dL=sf]</t>
  </si>
  <si>
    <t>k'/fgf] kfs]{6 lj5\ofPsf] 7fpFdf 3f]6L kfln; ug]{ sfo{ .</t>
  </si>
  <si>
    <t xml:space="preserve">k'/fgf] df]hfos ˆnf]l/Ë u/]sf] 7fpFdf 3f]6L ;kmf u/L </t>
  </si>
  <si>
    <t>d}g kfln; ;d]t ug]{ sfo{ .</t>
  </si>
  <si>
    <t>ln=</t>
  </si>
  <si>
    <t>sfjf]{/]08d 9'Ëf</t>
  </si>
  <si>
    <t>ljleGg k|sf/sf] P+unx?</t>
  </si>
  <si>
    <t>sd{l;on KnfOp* 12 dL=dL=</t>
  </si>
  <si>
    <t>sd{l;on KnfOp* 19 dL=dL=</t>
  </si>
  <si>
    <t>jf^/ k|'km KnfOp* 6 dL=dL=</t>
  </si>
  <si>
    <t>kmf]/ dfO{sf</t>
  </si>
  <si>
    <t>xf*{ jf]*{</t>
  </si>
  <si>
    <t>%]l:sgL 300 dL=dL=</t>
  </si>
  <si>
    <t>nlsª ;]^ 300 dL=dL=</t>
  </si>
  <si>
    <t>P]gf 3 dL=dL=</t>
  </si>
  <si>
    <t>sd{l;on KnfOp* 6 dL=dL=</t>
  </si>
  <si>
    <t>12 dL=dL= /f]*f</t>
  </si>
  <si>
    <t>12=5 dL=dL= /f]*f</t>
  </si>
  <si>
    <t>;]tf] l;d]G^</t>
  </si>
  <si>
    <t>dfj{n lrK; 3 dL=dL=</t>
  </si>
  <si>
    <r>
      <t>Staircase</t>
    </r>
    <r>
      <rPr>
        <sz val="12"/>
        <rFont val="Preeti"/>
      </rPr>
      <t xml:space="preserve"> sf] </t>
    </r>
    <r>
      <rPr>
        <sz val="12"/>
        <rFont val="Times New Roman"/>
        <family val="1"/>
      </rPr>
      <t>3/4" x 3/4" square pipe</t>
    </r>
    <r>
      <rPr>
        <sz val="12"/>
        <rFont val="Preeti"/>
      </rPr>
      <t xml:space="preserve"> df nufpg] </t>
    </r>
    <r>
      <rPr>
        <sz val="12"/>
        <rFont val="Times New Roman"/>
        <family val="1"/>
      </rPr>
      <t>Brass cap</t>
    </r>
  </si>
  <si>
    <r>
      <t>Staircase</t>
    </r>
    <r>
      <rPr>
        <sz val="12"/>
        <rFont val="Preeti"/>
      </rPr>
      <t xml:space="preserve"> sf] </t>
    </r>
    <r>
      <rPr>
        <sz val="12"/>
        <rFont val="Times New Roman"/>
        <family val="1"/>
      </rPr>
      <t>1" x 1" square pipe</t>
    </r>
    <r>
      <rPr>
        <sz val="12"/>
        <rFont val="Preeti"/>
      </rPr>
      <t xml:space="preserve"> df nufpg] </t>
    </r>
    <r>
      <rPr>
        <sz val="12"/>
        <rFont val="Times New Roman"/>
        <family val="1"/>
      </rPr>
      <t>Brass cap</t>
    </r>
  </si>
  <si>
    <r>
      <t xml:space="preserve">Tarpoline sheet </t>
    </r>
    <r>
      <rPr>
        <sz val="14"/>
        <rFont val="Preeti"/>
      </rPr>
      <t>-tf/kf]lng l;6_</t>
    </r>
  </si>
  <si>
    <r>
      <t xml:space="preserve"> -s_ !)</t>
    </r>
    <r>
      <rPr>
        <sz val="12"/>
        <rFont val="Times New Roman"/>
        <family val="1"/>
      </rPr>
      <t>×</t>
    </r>
    <r>
      <rPr>
        <sz val="12"/>
        <rFont val="Preeti"/>
      </rPr>
      <t xml:space="preserve">!) ;]=ld= </t>
    </r>
  </si>
  <si>
    <r>
      <t xml:space="preserve"> -v_ -!)</t>
    </r>
    <r>
      <rPr>
        <sz val="12"/>
        <rFont val="Times New Roman"/>
        <family val="1"/>
      </rPr>
      <t>×</t>
    </r>
    <r>
      <rPr>
        <sz val="12"/>
        <rFont val="Preeti"/>
      </rPr>
      <t>!%_ ;]=ld=</t>
    </r>
  </si>
  <si>
    <r>
      <t xml:space="preserve"> -u_ -!)</t>
    </r>
    <r>
      <rPr>
        <sz val="12"/>
        <rFont val="Times New Roman"/>
        <family val="1"/>
      </rPr>
      <t>×</t>
    </r>
    <r>
      <rPr>
        <sz val="12"/>
        <rFont val="Preeti"/>
      </rPr>
      <t>@)_ ;]=ld=</t>
    </r>
  </si>
  <si>
    <r>
      <t xml:space="preserve"> -3_ -!)</t>
    </r>
    <r>
      <rPr>
        <sz val="12"/>
        <rFont val="Times New Roman"/>
        <family val="1"/>
      </rPr>
      <t>×</t>
    </r>
    <r>
      <rPr>
        <sz val="12"/>
        <rFont val="Preeti"/>
      </rPr>
      <t>#)_ ;]=ld=</t>
    </r>
  </si>
  <si>
    <r>
      <t xml:space="preserve"> -r_ -!%</t>
    </r>
    <r>
      <rPr>
        <sz val="12"/>
        <rFont val="Times New Roman"/>
        <family val="1"/>
      </rPr>
      <t>×</t>
    </r>
    <r>
      <rPr>
        <sz val="12"/>
        <rFont val="Preeti"/>
      </rPr>
      <t>@)_ ;]=ld=</t>
    </r>
  </si>
  <si>
    <r>
      <t xml:space="preserve"> -5_ -!%</t>
    </r>
    <r>
      <rPr>
        <sz val="12"/>
        <rFont val="Times New Roman"/>
        <family val="1"/>
      </rPr>
      <t>×</t>
    </r>
    <r>
      <rPr>
        <sz val="12"/>
        <rFont val="Preeti"/>
      </rPr>
      <t>#)_ ;]=ld=</t>
    </r>
  </si>
  <si>
    <r>
      <t xml:space="preserve"> -h_ -@)</t>
    </r>
    <r>
      <rPr>
        <sz val="12"/>
        <rFont val="Times New Roman"/>
        <family val="1"/>
      </rPr>
      <t>×</t>
    </r>
    <r>
      <rPr>
        <sz val="12"/>
        <rFont val="Preeti"/>
      </rPr>
      <t xml:space="preserve">@)_ ;]=ld= </t>
    </r>
  </si>
  <si>
    <r>
      <t xml:space="preserve"> -em_ -@)</t>
    </r>
    <r>
      <rPr>
        <sz val="12"/>
        <rFont val="Times New Roman"/>
        <family val="1"/>
      </rPr>
      <t>×</t>
    </r>
    <r>
      <rPr>
        <sz val="12"/>
        <rFont val="Preeti"/>
      </rPr>
      <t xml:space="preserve">#)_ ;]=ld=  </t>
    </r>
  </si>
  <si>
    <t>6«]Grsf] sfddf cfjZos kg]{ v'nf lsl;dsf] sf7sf] sfd pknlAw tyf h8fg ;d]t</t>
  </si>
  <si>
    <t>!=% dL= b]lv # dL= eGbf sd ulx/fO{df .</t>
  </si>
  <si>
    <t>jfln+u tyf :6«6x?</t>
  </si>
  <si>
    <t>b/ ljZn]if0fsf] nflu !)) j=ld= lnOPsf]</t>
  </si>
  <si>
    <t>* dL=dL= jf]N6 g6</t>
  </si>
  <si>
    <t>h] x's</t>
  </si>
  <si>
    <t>lj6'ldg jfz/</t>
  </si>
  <si>
    <t>j=dL=</t>
  </si>
  <si>
    <t>cGbfhL</t>
  </si>
  <si>
    <t>dL6/</t>
  </si>
  <si>
    <t>–</t>
  </si>
  <si>
    <t>k'/fgf] dfj{n km\nf]/ ;kmf ug]{ sfd =======================================================================</t>
  </si>
  <si>
    <t>Flush door shutter of 38 x 100 mm size sal wood frame with 4 mm thick commercial plywood on both side.</t>
  </si>
  <si>
    <t>Making and fitting fixing flush door shutter of 38 x 100 mm size sal wood frame with 6 mm thick waterproof ply on one side and 4mm thick commercial ply on other side including all necessary hardware fitting all complete.</t>
  </si>
  <si>
    <t>Flush door shutter of 38 x 100 mm size sal wood frame with 6 mm thick waterproof ply on one side and 4mm thick commercial ply on other side</t>
  </si>
  <si>
    <t>Making and fitting fixing flush door shutter of 38 x 100 mm size sal wood frame with 4 mm teak ply on both side including all necessary hardware fitting all complete.</t>
  </si>
  <si>
    <t xml:space="preserve">Supplying and laying Sisam wood wall panelling on wall(with wood frame) </t>
  </si>
  <si>
    <t xml:space="preserve">Aluminium partition with 5 mm thick glass and 9 mm </t>
  </si>
  <si>
    <t xml:space="preserve">Colouring with two coat white washing in new wall surface to give uniform colouring after rendering the surface all complete. </t>
  </si>
  <si>
    <t>Colouring with two coat white washing in new wall surface.</t>
  </si>
  <si>
    <t xml:space="preserve">Colouring with three coat white washing in new ceiling surface to give uniform colouring after rendering the surface all complete. </t>
  </si>
  <si>
    <t xml:space="preserve"> -3_ * dL=dL </t>
  </si>
  <si>
    <t xml:space="preserve"> -ª_ !@ dL=dL </t>
  </si>
  <si>
    <t xml:space="preserve"> -r_ !( dL=dL</t>
  </si>
  <si>
    <t>Water Proof</t>
  </si>
  <si>
    <t xml:space="preserve">s_ $ dL=dL  </t>
  </si>
  <si>
    <t xml:space="preserve">s_ ^ dL=dL  </t>
  </si>
  <si>
    <t xml:space="preserve">v_ * dL=dL= </t>
  </si>
  <si>
    <t xml:space="preserve">u_ !@ dL=dL </t>
  </si>
  <si>
    <t xml:space="preserve">3_ !( dL=dL </t>
  </si>
  <si>
    <t>Natural Teak Plywood</t>
  </si>
  <si>
    <t>One side lamination</t>
  </si>
  <si>
    <t xml:space="preserve"> -v_ $ dL= dL=] </t>
  </si>
  <si>
    <t xml:space="preserve"> -u_ ^ dL=dL=]  </t>
  </si>
  <si>
    <t>Both side lamination</t>
  </si>
  <si>
    <t xml:space="preserve"> -s_ ^ dL=dL=] </t>
  </si>
  <si>
    <t xml:space="preserve"> -v_ ^ dL=dL=] </t>
  </si>
  <si>
    <t xml:space="preserve"> -u_ * dL=dL </t>
  </si>
  <si>
    <t xml:space="preserve"> -3_ !@ dL=dL </t>
  </si>
  <si>
    <t xml:space="preserve"> -ª_ !( dL=dL</t>
  </si>
  <si>
    <t>Prelaminated Particle Board</t>
  </si>
  <si>
    <t>Plain Particle Board (Exteriors Grade)</t>
  </si>
  <si>
    <t xml:space="preserve"> -s_ ( dL =dL  </t>
  </si>
  <si>
    <t xml:space="preserve"> -v_ !@ dL= dL=] </t>
  </si>
  <si>
    <t xml:space="preserve"> -u_ !* dL=dL=]  </t>
  </si>
  <si>
    <t xml:space="preserve"> -3_ @% dL=dL </t>
  </si>
  <si>
    <t xml:space="preserve"> -3_ *Æ  nfdf]  </t>
  </si>
  <si>
    <t xml:space="preserve"> -ª_ !)Æ nfdf]  </t>
  </si>
  <si>
    <t xml:space="preserve"> -r_ !@Æ nfdf] </t>
  </si>
  <si>
    <t xml:space="preserve">Ordinary </t>
  </si>
  <si>
    <t>Special</t>
  </si>
  <si>
    <t>3"×1"</t>
  </si>
  <si>
    <t>4"×1"</t>
  </si>
  <si>
    <t>5"×1"</t>
  </si>
  <si>
    <t>6"</t>
  </si>
  <si>
    <t>8"</t>
  </si>
  <si>
    <t>10"</t>
  </si>
  <si>
    <t>12"</t>
  </si>
  <si>
    <t xml:space="preserve"> -s_ *Æ  nfdf]  </t>
  </si>
  <si>
    <t xml:space="preserve"> -v_ !)Æ nfdf]  </t>
  </si>
  <si>
    <t xml:space="preserve"> -u_ !@Æ nfdf] </t>
  </si>
  <si>
    <t>Special Fittings</t>
  </si>
  <si>
    <t>Pn 8«k M–</t>
  </si>
  <si>
    <t>*Æ nfdf] ============</t>
  </si>
  <si>
    <t>!)Æ nfdf] ===========</t>
  </si>
  <si>
    <t>!@Æ nfdf] ===========</t>
  </si>
  <si>
    <t>x\of08n M –</t>
  </si>
  <si>
    <t>*Æ nfdf] ===========</t>
  </si>
  <si>
    <t>6fj/ af]N6 M –</t>
  </si>
  <si>
    <t>^Æ nfdf] ============</t>
  </si>
  <si>
    <t>8an sn/  -uf]N8 l;Ne/÷ANofs l;Ne/_</t>
  </si>
  <si>
    <t>Mortice Lock</t>
  </si>
  <si>
    <t>Ordinary</t>
  </si>
  <si>
    <t>Chinese</t>
  </si>
  <si>
    <r>
      <t xml:space="preserve">Heritage Wall Surface Texture (Interior and Exterior) including the cost supplying and fitting </t>
    </r>
    <r>
      <rPr>
        <b/>
        <sz val="12"/>
        <rFont val="Times New Roman"/>
        <family val="1"/>
      </rPr>
      <t>(Heritage roller coat)</t>
    </r>
  </si>
  <si>
    <t>l;d]G6 s+qmL6 ˆnf]l/Ë -!M@M$_ -%) dL=dL=_ =======================================================================</t>
  </si>
  <si>
    <t>l;d]G6 s+qmL6 ˆnf]l/Ë -!M@M$_ -&amp;% dL=dL=_ =======================================================================</t>
  </si>
  <si>
    <t>!@ dL=dL= KnfO{p8</t>
  </si>
  <si>
    <r>
      <t xml:space="preserve">#* </t>
    </r>
    <r>
      <rPr>
        <sz val="10"/>
        <rFont val="Arial"/>
        <family val="2"/>
      </rPr>
      <t>X</t>
    </r>
    <r>
      <rPr>
        <sz val="14"/>
        <rFont val="Preeti"/>
      </rPr>
      <t xml:space="preserve">  !)) dL=dL= ;fn sf7sf] k|m]dsf] Kofgnx?df * dL=dL=sf] jf6/k|'km KnfO{p8 /fvL Psftkm{ $ dL=dL= l6sKnfO{p8 n]ldg]6 u/L jf6/k|'km KnfO{p8sf] l8nfvfkf agfO{ h8fg ug]{ . =======================</t>
    </r>
  </si>
  <si>
    <t>lsnf x's cflb</t>
  </si>
  <si>
    <t>ld=</t>
  </si>
  <si>
    <t># ld6/ b"/Ldf vDaf ufl8 % tx tyf @ j6f 8fouf]gn sf9]tf/ nufpg] sfd .</t>
  </si>
  <si>
    <t>;fnsf] sf7</t>
  </si>
  <si>
    <t>sfF9]tf/</t>
  </si>
  <si>
    <t>o" x's</t>
  </si>
  <si>
    <t>dL=</t>
  </si>
  <si>
    <r>
      <t>-u_ sf] 3</t>
    </r>
    <r>
      <rPr>
        <sz val="10"/>
        <rFont val="Preeti"/>
      </rPr>
      <t>Ü</t>
    </r>
    <r>
      <rPr>
        <sz val="10"/>
        <rFont val="FONTASY_ HIMALI_ TT"/>
        <family val="5"/>
      </rPr>
      <t xml:space="preserve"> n]</t>
    </r>
  </si>
  <si>
    <t>Fixing machinemade clay tile on 1:4 cement sand mortar over wall surface</t>
  </si>
  <si>
    <t>Carved salwood door/wondow fitting</t>
  </si>
  <si>
    <t>Carved salwood Ankhi jhyal dhoka fitting</t>
  </si>
  <si>
    <t>C) Wall to wall (for pharmaceutical and hospitals floor)</t>
  </si>
  <si>
    <t>Water proofing &amp; add Concrete mixture (BASF)</t>
  </si>
  <si>
    <t>xiv) Super bond XS ( Anti-strpping agent)</t>
  </si>
  <si>
    <t>ljifo ;"lr @</t>
  </si>
  <si>
    <t>ljifo ;"lr !</t>
  </si>
  <si>
    <t xml:space="preserve"> k]h= g+=</t>
  </si>
  <si>
    <t>ljZn]if)f lstfasf]</t>
  </si>
  <si>
    <t>cfO^d g+=</t>
  </si>
  <si>
    <t>Sqft</t>
  </si>
  <si>
    <t>Round Checker</t>
  </si>
  <si>
    <t>Boby Checker</t>
  </si>
  <si>
    <t>25 mm thick C.C. Tile (Red color)</t>
  </si>
  <si>
    <t>50 mm thick CC Block (Grey color)</t>
  </si>
  <si>
    <t>Cosmix</t>
  </si>
  <si>
    <t>Hexagon</t>
  </si>
  <si>
    <t>Threehex</t>
  </si>
  <si>
    <t>Royal tone Interlock</t>
  </si>
  <si>
    <t>I-Interlock</t>
  </si>
  <si>
    <t>Plus Interlock</t>
  </si>
  <si>
    <t>50 mm thick CC Block (Red color)</t>
  </si>
  <si>
    <t>60 mm thick CC Block (Grey color)</t>
  </si>
  <si>
    <t>60 mm thick CC Block (Red color)</t>
  </si>
  <si>
    <t>70 mm thick CC Block (Grey color)</t>
  </si>
  <si>
    <t>70 mm thick CC Block (Red color)</t>
  </si>
  <si>
    <t xml:space="preserve">Heritage Wall Surface Texture (Interior and Exterior) including the cost supplying and fitting </t>
  </si>
  <si>
    <t xml:space="preserve">i) Heritage granular </t>
  </si>
  <si>
    <t>ii) Heritage flakes</t>
  </si>
  <si>
    <t>iii) Heritage granite finish</t>
  </si>
  <si>
    <t>iv) Heritage roller coat,</t>
  </si>
  <si>
    <t>v) Heritage Top coat (plastic lamination)</t>
  </si>
  <si>
    <t xml:space="preserve">Wooden Parquet Flooring </t>
  </si>
  <si>
    <t>i) Parquet size 1"×6" size</t>
  </si>
  <si>
    <t>iv) Parquet skirting 4 " ×12mm th.</t>
  </si>
  <si>
    <t xml:space="preserve">Teak wood 150mm*30mm*8mm </t>
  </si>
  <si>
    <t xml:space="preserve">* dL=dL= g6 jf]N6 </t>
  </si>
  <si>
    <t>xf]N8 kf:6</t>
  </si>
  <si>
    <t>% dL=dL=P]gf</t>
  </si>
  <si>
    <t>;fdfg</t>
  </si>
  <si>
    <t>b/ ljZn]if0fsf] nflu !) 3=ld= lnOPsf]</t>
  </si>
  <si>
    <t xml:space="preserve"> l;d]G6 </t>
  </si>
  <si>
    <r>
      <t>v)</t>
    </r>
    <r>
      <rPr>
        <sz val="14"/>
        <rFont val="Preeti"/>
      </rPr>
      <t xml:space="preserve"> sfn]kq] ;8s </t>
    </r>
    <r>
      <rPr>
        <sz val="12"/>
        <rFont val="Times New Roman"/>
        <family val="1"/>
      </rPr>
      <t>Pot hole</t>
    </r>
    <r>
      <rPr>
        <sz val="14"/>
        <rFont val="Preeti"/>
      </rPr>
      <t xml:space="preserve"> 6fNgsf] nfuL k|of]u ul/g] </t>
    </r>
    <r>
      <rPr>
        <sz val="12"/>
        <rFont val="Times New Roman"/>
        <family val="1"/>
      </rPr>
      <t>Pre-coated Aggregate</t>
    </r>
    <r>
      <rPr>
        <sz val="14"/>
        <rFont val="Preeti"/>
      </rPr>
      <t xml:space="preserve"> ;fdfu|L</t>
    </r>
  </si>
  <si>
    <r>
      <t xml:space="preserve">ª_ sfnf]kq] ;8sdf /]vf+sg ug{ k|of]u ul/g] </t>
    </r>
    <r>
      <rPr>
        <sz val="12"/>
        <rFont val="Times New Roman"/>
        <family val="1"/>
      </rPr>
      <t xml:space="preserve">Therom Plastic Road marking </t>
    </r>
    <r>
      <rPr>
        <sz val="14"/>
        <rFont val="Preeti"/>
      </rPr>
      <t>;fdfu|L</t>
    </r>
  </si>
  <si>
    <r>
      <t xml:space="preserve"> -s_ ljleGg ;fOhsf</t>
    </r>
    <r>
      <rPr>
        <b/>
        <sz val="12"/>
        <rFont val="Times New Roman"/>
        <family val="1"/>
      </rPr>
      <t xml:space="preserve"> TMT Bar</t>
    </r>
  </si>
  <si>
    <r>
      <t xml:space="preserve"> -v_ ljleGg ;fOhsf] </t>
    </r>
    <r>
      <rPr>
        <b/>
        <sz val="12"/>
        <rFont val="Times New Roman"/>
        <family val="1"/>
      </rPr>
      <t>TOR Steel</t>
    </r>
    <r>
      <rPr>
        <sz val="12"/>
        <rFont val="Times New Roman"/>
        <family val="1"/>
      </rPr>
      <t xml:space="preserve"> </t>
    </r>
  </si>
  <si>
    <r>
      <t xml:space="preserve"> a)</t>
    </r>
    <r>
      <rPr>
        <sz val="14"/>
        <rFont val="Preeti"/>
      </rPr>
      <t xml:space="preserve"> </t>
    </r>
    <r>
      <rPr>
        <sz val="12"/>
        <rFont val="Times New Roman"/>
        <family val="1"/>
      </rPr>
      <t>8mm dia TOR steel</t>
    </r>
    <r>
      <rPr>
        <sz val="14"/>
        <rFont val="Preeti"/>
      </rPr>
      <t xml:space="preserve"> </t>
    </r>
  </si>
  <si>
    <r>
      <t>yk b/ ljZn]if0</t>
    </r>
    <r>
      <rPr>
        <sz val="20"/>
        <rFont val="Preeti"/>
      </rPr>
      <t>f</t>
    </r>
  </si>
  <si>
    <r>
      <t xml:space="preserve">#* </t>
    </r>
    <r>
      <rPr>
        <sz val="9"/>
        <rFont val="Arial"/>
        <family val="2"/>
      </rPr>
      <t xml:space="preserve">X  </t>
    </r>
    <r>
      <rPr>
        <sz val="16"/>
        <rFont val="Preeti"/>
      </rPr>
      <t xml:space="preserve">!)) dL=dL= ;fn sf7sf] k|m]dsf] Kofgnx?df * dL=dL=sf] sdl;{on KnfO{p8 /fvL </t>
    </r>
  </si>
  <si>
    <r>
      <t xml:space="preserve">#* </t>
    </r>
    <r>
      <rPr>
        <sz val="9"/>
        <rFont val="Arial"/>
        <family val="2"/>
      </rPr>
      <t xml:space="preserve">X  </t>
    </r>
    <r>
      <rPr>
        <sz val="16"/>
        <rFont val="Preeti"/>
      </rPr>
      <t xml:space="preserve">!)) dL=dL= ;fn sf7sf] k|m]dsf] Kofgnx?df * dL=dL=sf] jf6/k|'km KnfO{p8 /fvL </t>
    </r>
  </si>
  <si>
    <r>
      <t xml:space="preserve">&amp;% </t>
    </r>
    <r>
      <rPr>
        <sz val="10"/>
        <rFont val="Arial"/>
        <family val="2"/>
      </rPr>
      <t>X</t>
    </r>
    <r>
      <rPr>
        <sz val="16"/>
        <rFont val="Preeti"/>
      </rPr>
      <t xml:space="preserve"> &amp;% dL=dL= ;fO{hsf] cu|fv sf7sf] !=&amp;! </t>
    </r>
    <r>
      <rPr>
        <sz val="10"/>
        <rFont val="Arial"/>
        <family val="2"/>
      </rPr>
      <t>X</t>
    </r>
    <r>
      <rPr>
        <sz val="16"/>
        <rFont val="Preeti"/>
      </rPr>
      <t xml:space="preserve"> !=*^ dL=sf] sf]7fdf %) </t>
    </r>
    <r>
      <rPr>
        <sz val="10"/>
        <rFont val="Arial"/>
        <family val="2"/>
      </rPr>
      <t>X</t>
    </r>
    <r>
      <rPr>
        <sz val="16"/>
        <rFont val="Preeti"/>
      </rPr>
      <t xml:space="preserve"> &amp;% dL=dL= ;fO{hsf]</t>
    </r>
  </si>
  <si>
    <r>
      <t xml:space="preserve">$=% </t>
    </r>
    <r>
      <rPr>
        <sz val="10"/>
        <rFont val="Arial"/>
        <family val="2"/>
      </rPr>
      <t>X</t>
    </r>
    <r>
      <rPr>
        <sz val="16"/>
        <rFont val="Preeti"/>
      </rPr>
      <t xml:space="preserve"> @) dL=dL= kmnfd] kftfsf] k|m]ddf !@ </t>
    </r>
    <r>
      <rPr>
        <sz val="16"/>
        <rFont val="Arial"/>
        <family val="2"/>
      </rPr>
      <t>x</t>
    </r>
    <r>
      <rPr>
        <sz val="16"/>
        <rFont val="Preeti"/>
      </rPr>
      <t xml:space="preserve"> !@ dL=dL=;f]ln8 sf]/ :Sjfo/ /8sf] lu|n agfO{ vfS;L nufO{ /]8cS;fO8 tyf cNd'lgod k]G6 ;d]t u/L hf]8\g]</t>
    </r>
  </si>
  <si>
    <r>
      <t xml:space="preserve">gf]6 M !=)) j08n h:tf nDafO{{ &amp;@Ú–)Æ / rf}8fO{ @Ú–&amp;=%Æ dfg]sf] . -&amp;@Ú </t>
    </r>
    <r>
      <rPr>
        <sz val="10"/>
        <rFont val="Arial"/>
        <family val="2"/>
      </rPr>
      <t>x</t>
    </r>
    <r>
      <rPr>
        <sz val="10"/>
        <rFont val="Preeti"/>
      </rPr>
      <t xml:space="preserve"> @Ú–&amp;=%</t>
    </r>
    <r>
      <rPr>
        <sz val="10"/>
        <rFont val="Arial"/>
        <family val="2"/>
      </rPr>
      <t>=</t>
    </r>
    <r>
      <rPr>
        <sz val="10"/>
        <rFont val="Preeti"/>
      </rPr>
      <t>+ !&amp;=%^ j=dL=_</t>
    </r>
  </si>
  <si>
    <r>
      <t>vi)</t>
    </r>
    <r>
      <rPr>
        <sz val="14"/>
        <rFont val="Preeti"/>
      </rPr>
      <t xml:space="preserve"> </t>
    </r>
    <r>
      <rPr>
        <sz val="12"/>
        <rFont val="Preeti"/>
      </rPr>
      <t>b]jL b]jtfsf] d'lt{ s'FlbPsf]  ^… b]lv &amp;… nfdf]  -#Æ</t>
    </r>
    <r>
      <rPr>
        <sz val="12"/>
        <rFont val="Times New Roman"/>
        <family val="1"/>
      </rPr>
      <t>x</t>
    </r>
    <r>
      <rPr>
        <sz val="12"/>
        <rFont val="Preeti"/>
      </rPr>
      <t xml:space="preserve"> *Æ_ ;fn sf7df 6'F8fn agfpg] sfd</t>
    </r>
  </si>
  <si>
    <r>
      <t>vii)</t>
    </r>
    <r>
      <rPr>
        <sz val="14"/>
        <rFont val="Preeti"/>
      </rPr>
      <t xml:space="preserve"> </t>
    </r>
    <r>
      <rPr>
        <sz val="12"/>
        <rFont val="Preeti"/>
      </rPr>
      <t>ljleGg a'§f tyf b]jL b]jtfsf] d'lt{ s'FlbPsf] ;fn sf7sf] em\ofn 9f]sf agfpg] sfd -vfkfsf] df6fO{ $) ld=ld= b]lv %) ld=ld= ;Dd _</t>
    </r>
  </si>
  <si>
    <r>
      <t>viii)</t>
    </r>
    <r>
      <rPr>
        <sz val="14"/>
        <rFont val="Preeti"/>
      </rPr>
      <t xml:space="preserve"> </t>
    </r>
    <r>
      <rPr>
        <sz val="12"/>
        <rFont val="Preeti"/>
      </rPr>
      <t>3f]8fsf] cfs[lt ul/ s'FlbPsf] $Æ</t>
    </r>
    <r>
      <rPr>
        <sz val="12"/>
        <rFont val="Times New Roman"/>
        <family val="1"/>
      </rPr>
      <t>x</t>
    </r>
    <r>
      <rPr>
        <sz val="12"/>
        <rFont val="Preeti"/>
      </rPr>
      <t xml:space="preserve"> %Æ ;fOhsf] #… b]lv $… nfdf] ;fn sf7sf] tof/L 6'F8fn agfpg] sfd .</t>
    </r>
  </si>
  <si>
    <t>#)) dL=dL=nlsË ;]6</t>
  </si>
  <si>
    <t>df]l6{; ns -;fwf/0f_</t>
  </si>
  <si>
    <t xml:space="preserve"> k]r lsnf</t>
  </si>
  <si>
    <t xml:space="preserve">df]l6{; ns </t>
  </si>
  <si>
    <t xml:space="preserve"> $ dL=dL= sdl;{on KnfO{p8</t>
  </si>
  <si>
    <t xml:space="preserve"> ^ dL=dL= sdl;{on KnfO{p8</t>
  </si>
  <si>
    <t xml:space="preserve">!!–! v </t>
  </si>
  <si>
    <t>!!–! Uf</t>
  </si>
  <si>
    <t>!)–!&amp;</t>
  </si>
  <si>
    <t>@% dL=dL= cu|fv sf7sf] O{E; -d'7n_ agfO{ hf]8\g] .</t>
  </si>
  <si>
    <t>on both side, finishing of joints with compound &amp; tape all complete overall thickness 75mm</t>
  </si>
  <si>
    <t>d]6n :68sf] jfn kf6]{;g</t>
  </si>
  <si>
    <t>Gypsum or Boral plaster board wall panelling :</t>
  </si>
  <si>
    <t>@ v</t>
  </si>
  <si>
    <t>9'Ëf 5fKf]sf]df l6Ksf/ ug]{ sfd =======================================================================</t>
  </si>
  <si>
    <t>leQf Pj+ l;lnËdf Kn]g Knf:6/ ckm k]l/; ug]{ sfo{ .</t>
  </si>
  <si>
    <t>Knf:6/ ckm k]l/;</t>
  </si>
  <si>
    <t>@) dL=dL= r'gf ;'sL{ Knfi6/ -!M@_ efudf sfd ug]{ .</t>
  </si>
  <si>
    <t>6f6f /]8 cS;fO8 k]G6 Ps sf]6 nufpg] sfd .</t>
  </si>
  <si>
    <t>6f6f /]8 cS;fO8</t>
  </si>
  <si>
    <t>6f6f /]8 cS;fO8 k]G6 b'O{ sf]6 nufpg] sfd .</t>
  </si>
  <si>
    <t>O{6fsf] uf/f]df l;d]G6 afn'jf -!M!_ ?N8 l6Ksf/ ug]{ sfd =======================================================================</t>
  </si>
  <si>
    <t>It is a two pack poly sulphide base sealant with available grades. It provides strong and highly elastic sealant through cross linking process. Joint Set (G) gun applied for non – sag type for vertical and inclined expansion contraction joints and (P) pou</t>
  </si>
  <si>
    <t>kg</t>
  </si>
  <si>
    <r>
      <t>40mm th. , (600×1800)mm</t>
    </r>
    <r>
      <rPr>
        <vertAlign val="superscript"/>
        <sz val="12"/>
        <rFont val="Times New Roman"/>
        <family val="1"/>
      </rPr>
      <t>2</t>
    </r>
    <r>
      <rPr>
        <sz val="12"/>
        <rFont val="Times New Roman"/>
        <family val="1"/>
      </rPr>
      <t>(12×6) ft</t>
    </r>
  </si>
  <si>
    <r>
      <t>40mm th. , (600×1500)mm</t>
    </r>
    <r>
      <rPr>
        <vertAlign val="superscript"/>
        <sz val="12"/>
        <rFont val="Times New Roman"/>
        <family val="1"/>
      </rPr>
      <t>2</t>
    </r>
    <r>
      <rPr>
        <sz val="12"/>
        <rFont val="Times New Roman"/>
        <family val="1"/>
      </rPr>
      <t>(12×5) ft</t>
    </r>
  </si>
  <si>
    <r>
      <t xml:space="preserve"> @Ú–^Æ b]lv #Ú–)Æ ;Dd prfO{ ePsf] ^Æ</t>
    </r>
    <r>
      <rPr>
        <sz val="16"/>
        <rFont val="Arial"/>
        <family val="2"/>
      </rPr>
      <t xml:space="preserve">x </t>
    </r>
    <r>
      <rPr>
        <sz val="16"/>
        <rFont val="Preeti"/>
      </rPr>
      <t>^Æ ;fO{hsf] ;fn jf lzzf} sf7sf] snfTds kf]i6 tyf #Æ</t>
    </r>
    <r>
      <rPr>
        <sz val="16"/>
        <rFont val="Arial"/>
        <family val="2"/>
      </rPr>
      <t>x</t>
    </r>
    <r>
      <rPr>
        <sz val="16"/>
        <rFont val="Preeti"/>
      </rPr>
      <t xml:space="preserve"> #Æ;fO{hsf] snfTds an':6/ /fvL #Æ</t>
    </r>
    <r>
      <rPr>
        <sz val="16"/>
        <rFont val="Arial"/>
        <family val="2"/>
      </rPr>
      <t>x</t>
    </r>
    <r>
      <rPr>
        <sz val="16"/>
        <rFont val="Preeti"/>
      </rPr>
      <t>$Æ ;fO{hsf] ;fn jf lzzf}sf] x\of08/]n agfO{ h8fg ug]{ sfd .</t>
    </r>
  </si>
  <si>
    <t>k'/fgf] kfs]{6 km\nf]/ ;kmf ug]{ sfd =======================================================================</t>
  </si>
  <si>
    <t>sf]7f agfO{ ljleGg lsl;dsf] kmN; l;lnË 7f]Sg] $ dL=dL= sdl;{on KnfO{p8</t>
  </si>
  <si>
    <t>hL=cfO{=sf+8]tf/ nufpg] sfd ============================================================================</t>
  </si>
  <si>
    <t>s'+b]sf] ('+uf</t>
  </si>
  <si>
    <t>8 dL=dL=sdl;{on KnfO{</t>
  </si>
  <si>
    <t>@) dL=dL= l;d]G6 afn'jf -!M^_ Knfi6/ =======================================================================</t>
  </si>
  <si>
    <t>;|f]t ;fwg</t>
  </si>
  <si>
    <t>tx÷lsl;d</t>
  </si>
  <si>
    <t>kl/df0f</t>
  </si>
  <si>
    <t>PsfO{</t>
  </si>
  <si>
    <t>b/ k|lt PsfO{</t>
  </si>
  <si>
    <t>/sd</t>
  </si>
  <si>
    <t xml:space="preserve">s_ !Æ ;Dd afSnf] ;km{]; 8]«; u/]sf] 5fKg] 9'Ëf </t>
  </si>
  <si>
    <t>j=lkm</t>
  </si>
  <si>
    <t xml:space="preserve">u_@Æ ;Dd afSnf] 9'Ëf     ,,          ,,      </t>
  </si>
  <si>
    <t xml:space="preserve">ljleGg k|sf/sf] afn'jf </t>
  </si>
  <si>
    <t xml:space="preserve">s_ vf]nfsf] grfn]sf] v;\f] afn'[jf </t>
  </si>
  <si>
    <t xml:space="preserve">v_ vfgLsf] grfn]sf] afn'jf </t>
  </si>
  <si>
    <t xml:space="preserve">u_ vfgLsf] rfn]sf] / kvfn]sf] afn'jf </t>
  </si>
  <si>
    <t>;8s sfnf] kq] ug]{ sfdsf] nfuL</t>
  </si>
  <si>
    <t xml:space="preserve">s]=hL </t>
  </si>
  <si>
    <t>s]=lh=</t>
  </si>
  <si>
    <t>i)   B.S. Grade</t>
  </si>
  <si>
    <t>s]=lh</t>
  </si>
  <si>
    <t>ii)  Most Grade</t>
  </si>
  <si>
    <t>iii) Glass beads</t>
  </si>
  <si>
    <t xml:space="preserve">ljleGg sDkgLaf6 pTkflbt l;d]G6x? </t>
  </si>
  <si>
    <t xml:space="preserve">s_ x]6f}+8f l;d]G6 </t>
  </si>
  <si>
    <t>Aofu</t>
  </si>
  <si>
    <t>v_ pbok'/ l;d]G6</t>
  </si>
  <si>
    <t>Filling 110mm lead caulked joint @ 4 lbs per joint  all complete.</t>
  </si>
  <si>
    <t>110mm lead caulked joint @ 4 lbs per joint.</t>
  </si>
  <si>
    <t>Filling 150mm lead caulked joint @ 4lbs per joint  all complete.</t>
  </si>
  <si>
    <t>150mm lead caulked joint @ 4lbs per joint .</t>
  </si>
  <si>
    <t>50mm PVC pipe of 4 kg/cm2  and instruction all complete.</t>
  </si>
  <si>
    <t>75mm PVC pipe of 4 kg/cm2  and instruction all complete.</t>
  </si>
  <si>
    <t>110mm PVC pipe of 4 kg/cm2  and instruction all complete.</t>
  </si>
  <si>
    <t>O{6fsf] uf/f]df l;d]G6 afn'jf -!M@_ ˆn; l6Ksf/ ug]{ sfd =======================================================================</t>
  </si>
  <si>
    <t>O{6fsf] uf/f]df l;d]G6 afn'jf -!M@_ ?N8 l6Ksf/ ug]{ sfd =======================================================================</t>
  </si>
  <si>
    <t>O{6fsf] uf/f]df l;d]G6 afn'jf -!M#_ ?N8 l6Ksf/ ug]{ sfd =======================================================================</t>
  </si>
  <si>
    <t>gofF ;km]{;df XjfO{6jfz b'O{ sf]6 ug]{ sfd =======================================================================</t>
  </si>
  <si>
    <t>gofF ;km]{;df XjfO{6jfz tLg sf]6 ug]{ sfd -l;ln+udf_ =======================================================================</t>
  </si>
  <si>
    <t>@) dL=dL= afSnf] l;d]G6 afn'jf Knfi6/ -!M$_ efudf  .</t>
  </si>
  <si>
    <t>@) dL=dL= afSnf] l;d]G6 afn'jf Knfi6/ -!M^_ efudf  .</t>
  </si>
  <si>
    <t>dfn;fdfg pknAw u/L sf]?u]6]8 /+lug ss{6</t>
  </si>
  <si>
    <t>d]lzg d]8 6fO{n</t>
  </si>
  <si>
    <t>d]lzg d]8 w'/L</t>
  </si>
  <si>
    <t xml:space="preserve">-;fwf/0f_ </t>
  </si>
  <si>
    <t>Xofl8n ;fwf/0f</t>
  </si>
  <si>
    <t>Xof08n -;fwf/0f_</t>
  </si>
  <si>
    <t>?=</t>
  </si>
  <si>
    <t>k}=</t>
  </si>
  <si>
    <t>%=) dL=dL= P]gf vfkf agfO{ h8fg ug]{ .</t>
  </si>
  <si>
    <t>c:t/ jfx]s Ps sf]6 cfNd'lgod k]G6 ug]{ sfd =======================================================================</t>
  </si>
  <si>
    <t>kmnfd] sf]nfK;Lan u]^ -h*Fg ;d]t_</t>
  </si>
  <si>
    <t>;^/ 16.18 u]h -h*Fg ;d]t_</t>
  </si>
  <si>
    <r>
      <t>Knf:^Ls km]N^ -20</t>
    </r>
    <r>
      <rPr>
        <sz val="12"/>
        <rFont val="Arial"/>
        <family val="2"/>
      </rPr>
      <t>x</t>
    </r>
    <r>
      <rPr>
        <sz val="12"/>
        <rFont val="FONTASY_ HIMALI_ TT"/>
        <family val="5"/>
      </rPr>
      <t>1 dL= sf] /f]n_</t>
    </r>
  </si>
  <si>
    <t>$ dL=dL= l6s KnfO{</t>
  </si>
  <si>
    <r>
      <t xml:space="preserve">vfgL÷vf]nf÷gbLsf] afn'jf </t>
    </r>
    <r>
      <rPr>
        <sz val="10"/>
        <rFont val="Times New Roman"/>
        <family val="1"/>
      </rPr>
      <t xml:space="preserve">(free from all kind of impurities as per mentioned in specification) </t>
    </r>
  </si>
  <si>
    <r>
      <t xml:space="preserve">ejgsf] e"FO{+ sf]7fdf k'g{, ;f]lnËsf] </t>
    </r>
    <r>
      <rPr>
        <sz val="14"/>
        <rFont val="Times New Roman"/>
        <family val="1"/>
      </rPr>
      <t xml:space="preserve">Void filling </t>
    </r>
    <r>
      <rPr>
        <sz val="14"/>
        <rFont val="Preeti"/>
      </rPr>
      <t>ug{</t>
    </r>
    <r>
      <rPr>
        <sz val="14"/>
        <rFont val="Times New Roman"/>
        <family val="1"/>
      </rPr>
      <t xml:space="preserve"> </t>
    </r>
    <r>
      <rPr>
        <sz val="14"/>
        <rFont val="Preeti"/>
      </rPr>
      <t>k|of]u ul/g] afn'jf</t>
    </r>
  </si>
  <si>
    <t>sf]?u]^]* /+lug ss{t kftf 0=45 ld=ld</t>
  </si>
  <si>
    <t>Supplying and laying Teak wood Parqueting on floor polishing all complete(150mm*30mm*8mm)</t>
  </si>
  <si>
    <t>Supplying and laying Sisam wood wall panelling on wall(with wood frame) polishing all complete(75mm*16mm)</t>
  </si>
  <si>
    <t>Ps tx Knfli6s km]N6 nufpg sfd =======================================================================</t>
  </si>
  <si>
    <t>b'O{ tx Knfli6s km]N6 nufpg sfd ========================================================================</t>
  </si>
  <si>
    <t>d]l;gd]8 Sn] 6fon jfn ;km]{;df 6fF:g] sfo{ =========================================================</t>
  </si>
  <si>
    <t>lhk jf]8{ l8hfO{g km\n;\ l;lnË =============================================================================</t>
  </si>
  <si>
    <t>Elastocrete cementitious elastomeric water proofing coating 2 components</t>
  </si>
  <si>
    <r>
      <t>gf]6 M d]lzg k|of]u gu/L HofdL ;+Vof !#</t>
    </r>
    <r>
      <rPr>
        <sz val="10"/>
        <rFont val="Sama"/>
        <family val="5"/>
      </rPr>
      <t>½</t>
    </r>
    <r>
      <rPr>
        <sz val="10"/>
        <rFont val="Preeti"/>
      </rPr>
      <t xml:space="preserve"> j9fpg] x'g] hDdf b/ ?= ==========÷========= k}= jf:tljs b//]6 ?= ===========÷===========k}=</t>
    </r>
  </si>
  <si>
    <t>:yfgLo sdl;{on afg]{; Ps sf]6 nufpg] sfd .</t>
  </si>
  <si>
    <t>:yfgLo sdl;{on afg]{; b'O{ sf]6 nufpg] sfd .</t>
  </si>
  <si>
    <t>-gf]6M !^–!* u]hsf] :6«Lk k|of]u ug]{ u/L lx;fj ul/Psf]_</t>
  </si>
  <si>
    <t>c:t/ jfx]s Ps sf]6 Knfli6s OdN;g k]G6 ug]{ sfd .</t>
  </si>
  <si>
    <t>rf}sf];df % dL=dL= df]6fO{sf] P]gf sf7sf] lni6L nufO{ hf]8\g] .</t>
  </si>
  <si>
    <t>% dL=dL= P]gf</t>
  </si>
  <si>
    <t xml:space="preserve">!@=% dL=dL= afSnf] l;d]G6 afn'jf Knfi6/ -!M#_ efudf l;lnËdf ug]{ . </t>
  </si>
  <si>
    <t>Supplying and fixing of (80x50) mm th. White color casement windows(double glazing glass), etc all complete. ……………………</t>
  </si>
  <si>
    <t>UPVC (60x60)mm size white colour swing door with 5mm glass pannel fixing all complete; ……………………………………</t>
  </si>
  <si>
    <t>Carbon Fibre UPVC Roofing Sheet including the cost of material and labour  fitting, fixing, all complete job (3mm Thick) ……………..</t>
  </si>
  <si>
    <t>White glazed  Oval wash basin 55X40cm all complete set.</t>
  </si>
  <si>
    <t>White glazed Cval wash basin 55X40cm  size European pattern american standard with brackets 32mm bottle trap, 32mm CP waste coupling with CP chain and rubber plug, Basin mixer (jaquar, essco or eqv.) and  ½"x18" pipe connector etc  all complete.</t>
  </si>
  <si>
    <t>White glazed Oval wash basin 55X40cm European pattern (american Standard) with mixer all complete set.</t>
  </si>
  <si>
    <t xml:space="preserve"> @&amp;_ a'§]bf/L slg{z O6f s'gf</t>
  </si>
  <si>
    <t xml:space="preserve"> @(_  ‰ofn dflysf] slg{z O{6f a'§]bf/L </t>
  </si>
  <si>
    <t xml:space="preserve"> #$_ ef} Kjf</t>
  </si>
  <si>
    <t xml:space="preserve"> #%_ tfdf kftf</t>
  </si>
  <si>
    <t>s]lh</t>
  </si>
  <si>
    <t xml:space="preserve"> #^_ lkQn kftf</t>
  </si>
  <si>
    <t xml:space="preserve"> #&amp;_ kf/f]</t>
  </si>
  <si>
    <t>Tff]nf</t>
  </si>
  <si>
    <t xml:space="preserve"> #*_ ;"ls{ O6f s'l6 w'nf] agfPsf] .</t>
  </si>
  <si>
    <t>6g</t>
  </si>
  <si>
    <t>1==3</t>
  </si>
  <si>
    <t>3==5</t>
  </si>
  <si>
    <t>5==13</t>
  </si>
  <si>
    <t>13==18</t>
  </si>
  <si>
    <t>18==22</t>
  </si>
  <si>
    <t>22==26</t>
  </si>
  <si>
    <t>27==30</t>
  </si>
  <si>
    <t>31==42</t>
  </si>
  <si>
    <t>43==53</t>
  </si>
  <si>
    <t>54==57</t>
  </si>
  <si>
    <t>57==66</t>
  </si>
  <si>
    <t>66==71</t>
  </si>
  <si>
    <t>71==74</t>
  </si>
  <si>
    <t>74==76</t>
  </si>
  <si>
    <t>76==79</t>
  </si>
  <si>
    <t>Knfi6/sf] sfd</t>
  </si>
  <si>
    <t>;fO{6 ;kmf ug]{ sfd</t>
  </si>
  <si>
    <t>;gdfO{sf n]ldg]zg u/L  hf]8\g] sfd Pstkm{ dfq . =============================</t>
  </si>
  <si>
    <t>kmf]/dfO{sf n]ldg]zg u/L  hf]8\g] sfd Pstkm{ dfq . =============================</t>
  </si>
  <si>
    <r>
      <t xml:space="preserve">&amp;% </t>
    </r>
    <r>
      <rPr>
        <sz val="10"/>
        <rFont val="Arial"/>
        <family val="2"/>
      </rPr>
      <t>X</t>
    </r>
    <r>
      <rPr>
        <sz val="14"/>
        <rFont val="Preeti"/>
      </rPr>
      <t xml:space="preserve"> &amp;% dL=dL= ;fO{hsf] cu|fv sf7sf] !=&amp;! </t>
    </r>
    <r>
      <rPr>
        <sz val="10"/>
        <rFont val="Arial"/>
        <family val="2"/>
      </rPr>
      <t>X</t>
    </r>
    <r>
      <rPr>
        <sz val="14"/>
        <rFont val="Preeti"/>
      </rPr>
      <t xml:space="preserve"> !=*^ dL=sf] sf]7fdf %) </t>
    </r>
    <r>
      <rPr>
        <sz val="14"/>
        <rFont val="Arial"/>
        <family val="2"/>
      </rPr>
      <t>X</t>
    </r>
    <r>
      <rPr>
        <sz val="14"/>
        <rFont val="Preeti"/>
      </rPr>
      <t xml:space="preserve"> &amp;% dL=dL= ;fO{hsf] sf7n] qm; kfl6{;g u/L !@ dL=dL=sdl;{on KnfO{p8df Psftkm{ $ dL=dL=sf] l6s KnfO{p8 n]ldg];g u/L hf]lt{df sf7sf] lni6L nufO{ kfl6{;g ug]{ . ========================================================</t>
    </r>
  </si>
  <si>
    <r>
      <t xml:space="preserve">&amp;% </t>
    </r>
    <r>
      <rPr>
        <sz val="10"/>
        <rFont val="Arial"/>
        <family val="2"/>
      </rPr>
      <t>X</t>
    </r>
    <r>
      <rPr>
        <sz val="14"/>
        <rFont val="Preeti"/>
      </rPr>
      <t xml:space="preserve"> &amp;% dL=dL= ;fO{hsf] cu|fv sf7sf] !=&amp;! </t>
    </r>
    <r>
      <rPr>
        <sz val="10"/>
        <rFont val="Arial"/>
        <family val="2"/>
      </rPr>
      <t>X</t>
    </r>
    <r>
      <rPr>
        <sz val="14"/>
        <rFont val="Preeti"/>
      </rPr>
      <t xml:space="preserve"> !=*^ dL=sf] sf]7fdf %) </t>
    </r>
    <r>
      <rPr>
        <sz val="14"/>
        <rFont val="Arial"/>
        <family val="2"/>
      </rPr>
      <t>X</t>
    </r>
    <r>
      <rPr>
        <sz val="14"/>
        <rFont val="Preeti"/>
      </rPr>
      <t xml:space="preserve"> &amp;% dL=dL= ;fO{hsf] sf7n] qm; kfl6{;g u/L !@ dL=dL=sdl;{on KnfO{p8df b'a}tkm{ $ dL=dL=sf] l6s KnfO{p8 n]ldg];g u/L hf]lt{df sf7sf] lni6L nufO{ kfl6{;g ug]{ . =========================================================</t>
    </r>
  </si>
  <si>
    <r>
      <t xml:space="preserve">Supplying and fixing of 8mm medium density </t>
    </r>
    <r>
      <rPr>
        <b/>
        <sz val="12"/>
        <rFont val="Times New Roman"/>
        <family val="1"/>
      </rPr>
      <t>fiber board</t>
    </r>
    <r>
      <rPr>
        <sz val="12"/>
        <rFont val="Times New Roman"/>
        <family val="1"/>
      </rPr>
      <t xml:space="preserve"> of merhok fiter. Malaysian vertical wall paneling</t>
    </r>
  </si>
  <si>
    <r>
      <t xml:space="preserve">Structural strengthening and </t>
    </r>
    <r>
      <rPr>
        <b/>
        <sz val="12"/>
        <rFont val="Times New Roman"/>
        <family val="1"/>
      </rPr>
      <t>Retrofitting</t>
    </r>
    <r>
      <rPr>
        <sz val="12"/>
        <rFont val="Times New Roman"/>
        <family val="1"/>
      </rPr>
      <t xml:space="preserve"> works using Carbonex fiber wrap including material, labour all complete</t>
    </r>
  </si>
  <si>
    <r>
      <t xml:space="preserve">Washable </t>
    </r>
    <r>
      <rPr>
        <b/>
        <sz val="12"/>
        <rFont val="Times New Roman"/>
        <family val="1"/>
      </rPr>
      <t>Wall Paper</t>
    </r>
    <r>
      <rPr>
        <sz val="12"/>
        <rFont val="Times New Roman"/>
        <family val="1"/>
      </rPr>
      <t xml:space="preserve"> on cement wall with one coat of primer all complete.</t>
    </r>
  </si>
  <si>
    <r>
      <t xml:space="preserve">!@=% dL=dL  df]6fOsf] </t>
    </r>
    <r>
      <rPr>
        <sz val="12"/>
        <rFont val="Times New Roman"/>
        <family val="1"/>
      </rPr>
      <t>Perforated board</t>
    </r>
    <r>
      <rPr>
        <sz val="12"/>
        <rFont val="Preeti"/>
      </rPr>
      <t xml:space="preserve"> </t>
    </r>
    <r>
      <rPr>
        <sz val="14"/>
        <rFont val="Preeti"/>
      </rPr>
      <t xml:space="preserve">sf] sfd </t>
    </r>
  </si>
  <si>
    <t xml:space="preserve">sfd k'/f #) dL6/;Dd 9'jfgL ;lxt </t>
  </si>
  <si>
    <r>
      <t>b'O{÷tLg k}g]n ePsf] :nfOl8ª em\ofn -*%</t>
    </r>
    <r>
      <rPr>
        <sz val="12"/>
        <rFont val="Arial"/>
        <family val="2"/>
      </rPr>
      <t>x</t>
    </r>
    <r>
      <rPr>
        <sz val="12"/>
        <rFont val="Preeti"/>
      </rPr>
      <t>%)</t>
    </r>
    <r>
      <rPr>
        <sz val="12"/>
        <rFont val="Arial"/>
        <family val="2"/>
      </rPr>
      <t>X</t>
    </r>
    <r>
      <rPr>
        <sz val="12"/>
        <rFont val="Preeti"/>
      </rPr>
      <t>!=#) dL=dL=_ lzzf % dL=dL=;d]t ;fbf</t>
    </r>
  </si>
  <si>
    <r>
      <t>b'O{÷tLg k}g]n ePsf] :nfOl8ª em\ofn -*%</t>
    </r>
    <r>
      <rPr>
        <sz val="12"/>
        <rFont val="Arial"/>
        <family val="2"/>
      </rPr>
      <t>x</t>
    </r>
    <r>
      <rPr>
        <sz val="12"/>
        <rFont val="Preeti"/>
      </rPr>
      <t>%)</t>
    </r>
    <r>
      <rPr>
        <sz val="12"/>
        <rFont val="Arial"/>
        <family val="2"/>
      </rPr>
      <t>X</t>
    </r>
    <r>
      <rPr>
        <sz val="12"/>
        <rFont val="Preeti"/>
      </rPr>
      <t>!=#) dL=dL=_ lzzf % dL=dL= hfnL vfkf ;d]t ePsf] .</t>
    </r>
  </si>
  <si>
    <r>
      <t>b'O{÷tLg k}g]n ePsf] :nfOl8ª em\ofn lkmS; e]G6Ln];g ePsf] -*%</t>
    </r>
    <r>
      <rPr>
        <sz val="12"/>
        <rFont val="Arial"/>
        <family val="2"/>
      </rPr>
      <t>x</t>
    </r>
    <r>
      <rPr>
        <sz val="12"/>
        <rFont val="Preeti"/>
      </rPr>
      <t>%)</t>
    </r>
    <r>
      <rPr>
        <sz val="12"/>
        <rFont val="Arial"/>
        <family val="2"/>
      </rPr>
      <t>X</t>
    </r>
    <r>
      <rPr>
        <sz val="12"/>
        <rFont val="Preeti"/>
      </rPr>
      <t>!=#) dL=dL=_ lzzf % dL=dL= ;lxt -;fbf_</t>
    </r>
  </si>
  <si>
    <r>
      <t>b'O{÷tLg k}g]n ePsf] :nfOl8ª em\ofn lkmS; e]G6Ln];g ePsf] -*%</t>
    </r>
    <r>
      <rPr>
        <sz val="12"/>
        <rFont val="Arial"/>
        <family val="2"/>
      </rPr>
      <t>x</t>
    </r>
    <r>
      <rPr>
        <sz val="12"/>
        <rFont val="Preeti"/>
      </rPr>
      <t>%)</t>
    </r>
    <r>
      <rPr>
        <sz val="12"/>
        <rFont val="Arial"/>
        <family val="2"/>
      </rPr>
      <t>X</t>
    </r>
    <r>
      <rPr>
        <sz val="12"/>
        <rFont val="Preeti"/>
      </rPr>
      <t>!=#) dL=dL=_ lzzf % dL=dL= hfnL vfkf ;lxt ePsf] .</t>
    </r>
  </si>
  <si>
    <r>
      <t>cfNd'lgod s};d]G6 em\ofn 6fOk–</t>
    </r>
    <r>
      <rPr>
        <sz val="12"/>
        <rFont val="Arial"/>
        <family val="2"/>
      </rPr>
      <t xml:space="preserve">A </t>
    </r>
    <r>
      <rPr>
        <sz val="12"/>
        <rFont val="Preeti"/>
      </rPr>
      <t>-#&amp;</t>
    </r>
    <r>
      <rPr>
        <sz val="12"/>
        <rFont val="Arial"/>
        <family val="2"/>
      </rPr>
      <t>x</t>
    </r>
    <r>
      <rPr>
        <sz val="12"/>
        <rFont val="Preeti"/>
      </rPr>
      <t>#*=%)</t>
    </r>
    <r>
      <rPr>
        <sz val="12"/>
        <rFont val="Arial"/>
        <family val="2"/>
      </rPr>
      <t>X</t>
    </r>
    <r>
      <rPr>
        <sz val="12"/>
        <rFont val="Preeti"/>
      </rPr>
      <t xml:space="preserve">!=&amp;) dL=dL=_ </t>
    </r>
  </si>
  <si>
    <t xml:space="preserve"> -u_ @ dL=dL= df]6f]        Æ     Æ</t>
  </si>
  <si>
    <t xml:space="preserve"> -3_ # dL= dL=  df]6f]      Æ    Æ</t>
  </si>
  <si>
    <t>Rm</t>
  </si>
  <si>
    <t>no.</t>
  </si>
  <si>
    <t xml:space="preserve"> -s_ #Æ  ;fOh </t>
  </si>
  <si>
    <t xml:space="preserve"> -v_ $Æ ;fOh </t>
  </si>
  <si>
    <t xml:space="preserve"> -u_ %Æ ;fOh </t>
  </si>
  <si>
    <t xml:space="preserve"> -3_ ^Æ ;fOh </t>
  </si>
  <si>
    <t>Locking Set (L-drop)</t>
  </si>
  <si>
    <t>300 mm</t>
  </si>
  <si>
    <t>225 mm</t>
  </si>
  <si>
    <t>150 mm</t>
  </si>
  <si>
    <t xml:space="preserve"> -s_ #Æ  nfdf] </t>
  </si>
  <si>
    <t xml:space="preserve"> -v_ $Æ  nfdf] </t>
  </si>
  <si>
    <t xml:space="preserve"> -u_ ^Æ   nfdf]   </t>
  </si>
  <si>
    <t>/fd ltns</t>
  </si>
  <si>
    <t>ud</t>
  </si>
  <si>
    <t>gf]6 M !Æ j/fj/ @=%$ ;]=dL= kmn]ssf] lx;fj ul/Psf] sf7x? ^ k6s;Dd k|of]u u/L;s]kl5 @%Ü d"No afFsL x'g] u/L lx;fj ul/Psf]]_</t>
  </si>
  <si>
    <t>sfo{ ;d"x …uÚ M– O{+6fsf] sfd</t>
  </si>
  <si>
    <t>sfo{ ;d"x …3Ú M– 9'Ëfsf] sfd</t>
  </si>
  <si>
    <t>sfo{ ;d"x …ªÚ M– l;d]G6 s+qmL6sf] sfd</t>
  </si>
  <si>
    <t>sfo{ ;d"x …rÚ M– kmdf{sf] sfd</t>
  </si>
  <si>
    <t>sfo{ ;d"x …5Ú M– 5fgfsf] sfd</t>
  </si>
  <si>
    <t>Fixing of glazed shutter in 38x75 mm thick sal wood frame with 3mm thick  plain glass fitted.</t>
  </si>
  <si>
    <t xml:space="preserve">Fixing of glazed shutter in 38x75 mm thick sal wood frame with 4mm thick  plain glass fitted including all necessary hardware fittings all complete. </t>
  </si>
  <si>
    <t>Fixing of glazed shutter in 38x75 mm thick sal wood frame with 4mm thick  plain glass fitted.</t>
  </si>
  <si>
    <t xml:space="preserve"> 50mm dia galvanized Iron (GI) pipe with necessary hardware  all complete.(Heavy)</t>
  </si>
  <si>
    <t xml:space="preserve"> 80mm dia galvanized Iron (GI) pipe  necessary hardware  all complete.(Heavy)</t>
  </si>
  <si>
    <r>
      <t xml:space="preserve">b/ ljZn]if0fsf] nflu (=&amp;% </t>
    </r>
    <r>
      <rPr>
        <sz val="8"/>
        <rFont val="Arial"/>
        <family val="2"/>
      </rPr>
      <t>X</t>
    </r>
    <r>
      <rPr>
        <sz val="10"/>
        <rFont val="Preeti"/>
      </rPr>
      <t xml:space="preserve"> #=^% Ö #%=%* j=ld= lnOPsf]</t>
    </r>
  </si>
  <si>
    <t>b'O{ sf]6 6f6f /]8 cS;fO8 nufpg] sfd =============================================================================</t>
  </si>
  <si>
    <t>O{6fsf] uf/f]df l;d]G6 afn'jf -!M#_ ˆn; l6Ksf/ ug]{ sfd =======================================================================</t>
  </si>
  <si>
    <t>!&amp;%=</t>
  </si>
  <si>
    <t>!&amp;^=</t>
  </si>
  <si>
    <t>!&amp;&amp;=</t>
  </si>
  <si>
    <t>!&amp;*=</t>
  </si>
  <si>
    <t>!&amp;(=</t>
  </si>
  <si>
    <t>sfo{ ;d"x …tÚ M– gofF sfd</t>
  </si>
  <si>
    <t>!*!=</t>
  </si>
  <si>
    <t>!*@=</t>
  </si>
  <si>
    <t>b) Top hung window with bottom fixed</t>
  </si>
  <si>
    <t>c) Single casement with bottom fixed</t>
  </si>
  <si>
    <t>d) Double casement  with bottom fixed</t>
  </si>
  <si>
    <t>!@ dL=dL= lnpg Knfi6/ ==============================================================================</t>
  </si>
  <si>
    <t>f)    ,,       ,,       ,,     with centre  fixed</t>
  </si>
  <si>
    <t>cf/=;L=;L= nflu kmnfd] 808L sf6\g], df]8\g]</t>
  </si>
  <si>
    <t>kmn]s hfd"g</t>
  </si>
  <si>
    <t>/fdltns</t>
  </si>
  <si>
    <r>
      <t>-lk=;L=;L= ! M !</t>
    </r>
    <r>
      <rPr>
        <vertAlign val="superscript"/>
        <sz val="16"/>
        <rFont val="Preeti"/>
      </rPr>
      <t>!</t>
    </r>
    <r>
      <rPr>
        <sz val="16"/>
        <rFont val="Preeti"/>
      </rPr>
      <t>÷</t>
    </r>
    <r>
      <rPr>
        <vertAlign val="subscript"/>
        <sz val="16"/>
        <rFont val="Preeti"/>
      </rPr>
      <t xml:space="preserve">@ </t>
    </r>
    <r>
      <rPr>
        <sz val="16"/>
        <rFont val="Preeti"/>
      </rPr>
      <t>M #_</t>
    </r>
  </si>
  <si>
    <t>b/ ljZn]if0fsf] nflu ! Df]=6= lnOPsf]</t>
  </si>
  <si>
    <r>
      <t>!@ dL=dL= df]6fOsf]</t>
    </r>
    <r>
      <rPr>
        <sz val="12"/>
        <rFont val="Preeti"/>
      </rPr>
      <t xml:space="preserve">] </t>
    </r>
    <r>
      <rPr>
        <sz val="12"/>
        <rFont val="Times New Roman"/>
        <family val="1"/>
      </rPr>
      <t xml:space="preserve">Soft board </t>
    </r>
    <r>
      <rPr>
        <sz val="14"/>
        <rFont val="Preeti"/>
      </rPr>
      <t>sf] sfd</t>
    </r>
  </si>
  <si>
    <r>
      <t>Supplying and providing water proof treatment with poly magic treatment. Water membrane 3 kg/m</t>
    </r>
    <r>
      <rPr>
        <vertAlign val="superscript"/>
        <sz val="12"/>
        <rFont val="Times New Roman"/>
        <family val="1"/>
      </rPr>
      <t>2</t>
    </r>
    <r>
      <rPr>
        <sz val="12"/>
        <rFont val="Times New Roman"/>
        <family val="1"/>
      </rPr>
      <t xml:space="preserve"> including coating of surface with comfortable Multiplas polymer force application with 10cm. over lap all complete.</t>
    </r>
  </si>
  <si>
    <r>
      <t xml:space="preserve">rfOlgh O{6f, 9'Ëfsf] ufx|f]df kfgL gl5g{] u/L </t>
    </r>
    <r>
      <rPr>
        <sz val="12"/>
        <rFont val="Times New Roman"/>
        <family val="1"/>
      </rPr>
      <t>treatment</t>
    </r>
    <r>
      <rPr>
        <sz val="14"/>
        <rFont val="Preeti"/>
      </rPr>
      <t xml:space="preserve"> ug{] sfd . </t>
    </r>
  </si>
  <si>
    <r>
      <t xml:space="preserve">            </t>
    </r>
    <r>
      <rPr>
        <sz val="12"/>
        <rFont val="Times New Roman"/>
        <family val="1"/>
      </rPr>
      <t>i.</t>
    </r>
    <r>
      <rPr>
        <sz val="7"/>
        <rFont val="Times New Roman"/>
        <family val="1"/>
      </rPr>
      <t xml:space="preserve">      </t>
    </r>
    <r>
      <rPr>
        <sz val="12"/>
        <rFont val="Times New Roman"/>
        <family val="1"/>
      </rPr>
      <t xml:space="preserve"> Matt  Finish</t>
    </r>
  </si>
  <si>
    <t>-u_ g]kfn af6 pTkfbLt l;d]G6x? -;a}_</t>
  </si>
  <si>
    <t>channel fixing 12.5mm thick Gypboard or  boral  plater board</t>
  </si>
  <si>
    <t xml:space="preserve"> -5_ :yfgLo l;;f}+ sf7 </t>
  </si>
  <si>
    <t xml:space="preserve"> -h_ h+unL l;;f}+ sf7 ,,</t>
  </si>
  <si>
    <t xml:space="preserve"> -em_ sf7 bfp/f </t>
  </si>
  <si>
    <t xml:space="preserve">ljleGg df]6fO{sf] KnfOp8x? </t>
  </si>
  <si>
    <t>Commercial</t>
  </si>
  <si>
    <t xml:space="preserve"> -s_ # dL=dL </t>
  </si>
  <si>
    <t xml:space="preserve"> -v_ $ dL=dL </t>
  </si>
  <si>
    <t xml:space="preserve"> -u_ ^ dL=dL </t>
  </si>
  <si>
    <r>
      <t xml:space="preserve">Heritage Wall Surface Texture (Interior and Exterior) including the cost supplying and fitting </t>
    </r>
    <r>
      <rPr>
        <b/>
        <sz val="12"/>
        <rFont val="Times New Roman"/>
        <family val="1"/>
      </rPr>
      <t>(Heritage granite finishing)</t>
    </r>
  </si>
  <si>
    <t>Both side lamination Melamined faced (Interiors Grade)</t>
  </si>
  <si>
    <t>One side lamination Melamined faced (Interiors Grade)MDF</t>
  </si>
  <si>
    <t xml:space="preserve"> -v_ $ dL =dL  </t>
  </si>
  <si>
    <t xml:space="preserve"> -u_ ^ dL =dL  </t>
  </si>
  <si>
    <t xml:space="preserve"> -3_ ( dL =dL  </t>
  </si>
  <si>
    <t>dfn;fdfg pknAw u/L !=@ ld=ld= kmfO{j/ Unf;  Kn]g zL6n] 5fgf 5fpg] sfd . =============================================================================================</t>
  </si>
  <si>
    <r>
      <t xml:space="preserve">Plaster of Parish (POP) </t>
    </r>
    <r>
      <rPr>
        <sz val="12"/>
        <rFont val="Times New Roman"/>
        <family val="1"/>
      </rPr>
      <t>cornice and molding making die, casting of cornice as per design and drawing including fixing in position using steel screws on resin glue finishing all complete.</t>
    </r>
  </si>
  <si>
    <r>
      <t>a)</t>
    </r>
    <r>
      <rPr>
        <sz val="7"/>
        <rFont val="Times New Roman"/>
        <family val="1"/>
      </rPr>
      <t xml:space="preserve">      </t>
    </r>
    <r>
      <rPr>
        <sz val="12"/>
        <rFont val="Times New Roman"/>
        <family val="1"/>
      </rPr>
      <t>POP Molding 1" to 1½"</t>
    </r>
  </si>
  <si>
    <r>
      <t>b)</t>
    </r>
    <r>
      <rPr>
        <sz val="7"/>
        <rFont val="Times New Roman"/>
        <family val="1"/>
      </rPr>
      <t xml:space="preserve">      </t>
    </r>
    <r>
      <rPr>
        <sz val="12"/>
        <rFont val="Times New Roman"/>
        <family val="1"/>
      </rPr>
      <t>Up to 5" wide</t>
    </r>
  </si>
  <si>
    <r>
      <t>c)</t>
    </r>
    <r>
      <rPr>
        <sz val="7"/>
        <rFont val="Times New Roman"/>
        <family val="1"/>
      </rPr>
      <t xml:space="preserve">      </t>
    </r>
    <r>
      <rPr>
        <sz val="12"/>
        <rFont val="Times New Roman"/>
        <family val="1"/>
      </rPr>
      <t>Up to 8" wide</t>
    </r>
  </si>
  <si>
    <r>
      <t>d)</t>
    </r>
    <r>
      <rPr>
        <sz val="7"/>
        <rFont val="Times New Roman"/>
        <family val="1"/>
      </rPr>
      <t xml:space="preserve">      </t>
    </r>
    <r>
      <rPr>
        <sz val="12"/>
        <rFont val="Times New Roman"/>
        <family val="1"/>
      </rPr>
      <t>Above 8" wide</t>
    </r>
  </si>
  <si>
    <t>25mm thick mosaic flooring-  6mm thick white cement and marble chips(1:2) on 19mm thick cement plastering (1:2).</t>
  </si>
  <si>
    <t>20mm thick mosaic flooring(1:2) with12.5mm thick cement sand plaster(1:4)</t>
  </si>
  <si>
    <t xml:space="preserve">!)–! </t>
  </si>
  <si>
    <t xml:space="preserve">   M KNffO{ M ^ k6s;dd k|of]u ug{ ;lsg] To;kl5 !)Ü d"No afFsL /xg] lx;fan] ul/Psf] </t>
  </si>
  <si>
    <t>100x1.1x0.9/6=16.5</t>
  </si>
  <si>
    <t>1.6875x1.1x0.7516= 0.232</t>
  </si>
  <si>
    <r>
      <t>gf]6</t>
    </r>
    <r>
      <rPr>
        <sz val="11"/>
        <rFont val="Preeti"/>
      </rPr>
      <t xml:space="preserve"> M sf7 M ^ k6s;dd k|of]u ug{ ;lsg] To;kl5 @%Ü d"No afFsL /xg] lx;fan] ul/Psf] </t>
    </r>
  </si>
  <si>
    <t>n) Dozer, Track   (180+ to 240 H)</t>
  </si>
  <si>
    <t>o) Bitumin Distributer   (4 to 6 KL)</t>
  </si>
  <si>
    <t>p) Rock Drill (Engine)</t>
  </si>
  <si>
    <t>q) Rock Drill (Pneumatic)</t>
  </si>
  <si>
    <t>r) Mini Dumper    (Upto 1CUM)</t>
  </si>
  <si>
    <t xml:space="preserve"> !( dL=dL KnfO{ af]8{sf] kmdf{ sf]nd -kf]i6_df nufpg],{ v8f ug]{, sfd ldnfpg], lsnf nufpg]</t>
  </si>
  <si>
    <t>;km]{;nfO{ 8«]l;Ë ug]{ sfo{ vfN6f] k'g]{, p7]sf] df6f] sf6\g], ;tx ldnfpg]</t>
  </si>
  <si>
    <t>cflb sfo{ ;d]t -;le{;/f]8 cflb_</t>
  </si>
  <si>
    <t>lhk jf]8{ jfn kfgflnË ==========================================================================================</t>
  </si>
  <si>
    <t>lhk jf]8{ 8«fO{jfn kfl6{;g ======================================================================================</t>
  </si>
  <si>
    <t xml:space="preserve"> vi) Securty from Panic Alarm</t>
  </si>
  <si>
    <t xml:space="preserve"> vii) GPS (Global Positioning System) Device with software</t>
  </si>
  <si>
    <t>Up to 1/2 H.P.</t>
  </si>
  <si>
    <t>1.0 H.P.</t>
  </si>
  <si>
    <t>5 H.P.</t>
  </si>
  <si>
    <t>&amp; dL=dL= jf]N6 g6</t>
  </si>
  <si>
    <t>* dL=dL= h] x's</t>
  </si>
  <si>
    <t>dfn;fdfg pknAw u/L :n]6 5fgf 5fpg] sfd .</t>
  </si>
  <si>
    <t>:n]6</t>
  </si>
  <si>
    <t>dfn;fdfg pknAw u/L Sn] 6fO{n 5fgf 5fpg] sfd .</t>
  </si>
  <si>
    <t>dfn;fdfg pknAw u/L Sn] 6fO{nsf] w'/L nufpg] sfd</t>
  </si>
  <si>
    <t>b/ ljZn]if0fsf] nflu %))) ln6/ lnOPsf]</t>
  </si>
  <si>
    <t>Partition work with 12mm thick plywood fixed on both side with salwood frame (size 38x75mm)  making 61x91.5cm room size and listi.</t>
  </si>
  <si>
    <t>Supply and fixing of one side laminated 18 mm thick partition board</t>
  </si>
  <si>
    <t>Supply and lamination of 4 mm teak ply on hardboard and other partition surface with glue</t>
  </si>
  <si>
    <t>4mm thick plywood false ceiling work with salwood frame (size 50x75mm)  making 60x90cm room size  all complete.</t>
  </si>
  <si>
    <t>4mm thick plywood false ceiling work with salwood frame (size 50x75mm)  making 60x90cm room size.</t>
  </si>
  <si>
    <t>6mm thick plywood false ceiling work with salwood frame (size 50x75mm)  making 60x90cm room size  all complete.</t>
  </si>
  <si>
    <t>6mm thick plywood false ceiling work with salwood frame (size 50x75mm)  making 60x90cm room size.</t>
  </si>
  <si>
    <t>4mm thick plywood false ceiling work with pinewood frame (size 50x75mm)  making 60x90cm room size  all complete.</t>
  </si>
  <si>
    <t>4mm thick plywood false ceiling work with pinewood frame (size 50x75mm)  making 60x90cm room size.</t>
  </si>
  <si>
    <t>af]N8/ 9'Ëfsf] uf/f]df l;d]G6 afn'jf -!M!_ ?N8 l6Ksf/ ug]{ sfd =======================================================================</t>
  </si>
  <si>
    <t>Readymade door shutter Recon, Special (1 side teak)</t>
  </si>
  <si>
    <t xml:space="preserve">If Oneside water proof  ply fitting </t>
  </si>
  <si>
    <t>Note:</t>
  </si>
  <si>
    <t>MBG = Maccaferi Box Gabion</t>
  </si>
  <si>
    <t>MJG = Maccaferi Jumbo Gabion</t>
  </si>
  <si>
    <t>MRM = Maccaferi Reno Mettress</t>
  </si>
  <si>
    <t>WMN = Wire Mesh Netting</t>
  </si>
  <si>
    <t>10x12/3.0/3.9/2.4/ZN = Mesh type/Mesh wire dia./Selvedge wire dia./Lacing wire dia./Type of coating</t>
  </si>
  <si>
    <t>ZN = Heavy galvanized</t>
  </si>
  <si>
    <t>PVC = PVC coated</t>
  </si>
  <si>
    <t>Security System</t>
  </si>
  <si>
    <t>Metal detector (black Scorpian Company)</t>
  </si>
  <si>
    <t>Walk through gate class 1 (,,  ,,  ,, )</t>
  </si>
  <si>
    <t>Walk through gate class 2  (,,  ,,  ,, )</t>
  </si>
  <si>
    <t>Walk through gate class 3  (,,  ,,  ,, )</t>
  </si>
  <si>
    <t>Access Controller   (Taiwanese )</t>
  </si>
  <si>
    <t>Access Controller   (Chainese )</t>
  </si>
  <si>
    <t>Steel Security Door</t>
  </si>
  <si>
    <t>Single leaf :-  50 mm, 70 mm, 100mm</t>
  </si>
  <si>
    <t>Half leaf : -  50 mm, 70 mm, 100mm</t>
  </si>
  <si>
    <t>Double leaf : -  50 mm, 70 mm, 100mm</t>
  </si>
  <si>
    <t xml:space="preserve"> iii) Access Controller with record using Card and Pin ( with 10 piece RFID Card.)</t>
  </si>
  <si>
    <t>sf]?u]^]* jf Kn]g kmfO{j/ Unf; kftf 1=2 ld=ld</t>
  </si>
  <si>
    <t>sf]?u]^]* jf Kn]g kmfO{j/ Unf; kftf 2 ld=ld</t>
  </si>
  <si>
    <t xml:space="preserve">Supplying and installation of UPVC Profile Sliding Window frame 80x50 mm white colour, sliding window sash 55x36 mm with galvanized steel reinforcement of 1.5 mm, 5 mm thick clear glass, insect net, patented standard hardware like: rollers, gaskets,brush </t>
  </si>
  <si>
    <t>i) Single glazing</t>
  </si>
  <si>
    <t xml:space="preserve">a) Two slider sliding window </t>
  </si>
  <si>
    <t>Sqm</t>
  </si>
  <si>
    <t>b) ,,       ,,       ,,       ,,  with centre fixed</t>
  </si>
  <si>
    <t>c) ,,       ,,        ,,      ,, with bottom fixed</t>
  </si>
  <si>
    <t>d) ,,      ,,     ,,    ,,  with centre &amp; bottom fixed</t>
  </si>
  <si>
    <t>e) ,,      ,,     ,,    ,,  with top &amp; bottom fixed</t>
  </si>
  <si>
    <t>f) ,,    ,,   ,,   ,,  with centre, top &amp; bottom fixed</t>
  </si>
  <si>
    <t>g) Vertical sliding</t>
  </si>
  <si>
    <t>ii) Double glazing</t>
  </si>
  <si>
    <t>Supplying and installation of UPVC Profile Sliding Door frame 80x50 mm white colour, sliding window sash 66x36 mm with galvanized steel reinforcement of 1.5 mm, 5 mm thick clear glass, insect net, patented standard hardware like: rollers, gaskets,brush se</t>
  </si>
  <si>
    <t>Plain Particle Board (Interiors Grade)</t>
  </si>
  <si>
    <t>Equipment Hired  Rate Based on DoR</t>
  </si>
  <si>
    <t>a) Asphalt Plant*   (Upto 10 ton)</t>
  </si>
  <si>
    <t>Per hr.</t>
  </si>
  <si>
    <t>b) Asphalt Plant*  (40 ton/ hour)</t>
  </si>
  <si>
    <t>c) Asphalt Paver</t>
  </si>
  <si>
    <t>d) Asphalt, Mixer (Bel mix)</t>
  </si>
  <si>
    <t>e) Broom Road, Towed</t>
  </si>
  <si>
    <t>f) Boring Rig</t>
  </si>
  <si>
    <r>
      <t xml:space="preserve"> @*_ a'§]bf/L slg{z O6f 7"nf] </t>
    </r>
    <r>
      <rPr>
        <sz val="12"/>
        <rFont val="Times New Roman"/>
        <family val="1"/>
      </rPr>
      <t>222x273x76mm</t>
    </r>
  </si>
  <si>
    <r>
      <t xml:space="preserve"> #)_ sf7sf] slg{z dflysf] O6f !!</t>
    </r>
    <r>
      <rPr>
        <sz val="14"/>
        <rFont val="Times New Roman"/>
        <family val="1"/>
      </rPr>
      <t>×</t>
    </r>
    <r>
      <rPr>
        <sz val="14"/>
        <rFont val="Preeti"/>
      </rPr>
      <t>^</t>
    </r>
    <r>
      <rPr>
        <sz val="14"/>
        <rFont val="Times New Roman"/>
        <family val="1"/>
      </rPr>
      <t>×</t>
    </r>
    <r>
      <rPr>
        <sz val="14"/>
        <rFont val="Preeti"/>
      </rPr>
      <t>@=%Æ</t>
    </r>
  </si>
  <si>
    <r>
      <t xml:space="preserve"> #!_ sg{/ :6f]g M !)Æ</t>
    </r>
    <r>
      <rPr>
        <sz val="14"/>
        <rFont val="Times New Roman"/>
        <family val="1"/>
      </rPr>
      <t>×</t>
    </r>
    <r>
      <rPr>
        <sz val="14"/>
        <rFont val="Preeti"/>
      </rPr>
      <t>!)Æ</t>
    </r>
    <r>
      <rPr>
        <sz val="14"/>
        <rFont val="Times New Roman"/>
        <family val="1"/>
      </rPr>
      <t>×</t>
    </r>
    <r>
      <rPr>
        <sz val="14"/>
        <rFont val="Preeti"/>
      </rPr>
      <t xml:space="preserve">!$Æ] </t>
    </r>
  </si>
  <si>
    <r>
      <t xml:space="preserve"> #@_ s_  ljrsf] GofxfsNxF !)Æ</t>
    </r>
    <r>
      <rPr>
        <sz val="14"/>
        <rFont val="Times New Roman"/>
        <family val="1"/>
      </rPr>
      <t>×</t>
    </r>
    <r>
      <rPr>
        <sz val="14"/>
        <rFont val="Preeti"/>
      </rPr>
      <t>&amp;Æ</t>
    </r>
    <r>
      <rPr>
        <sz val="14"/>
        <rFont val="Times New Roman"/>
        <family val="1"/>
      </rPr>
      <t>×</t>
    </r>
    <r>
      <rPr>
        <sz val="14"/>
        <rFont val="Preeti"/>
      </rPr>
      <t>!$Æ</t>
    </r>
  </si>
  <si>
    <r>
      <t xml:space="preserve"> ##_ gfuf]n 9'Ëf !*Æ</t>
    </r>
    <r>
      <rPr>
        <sz val="14"/>
        <rFont val="Times New Roman"/>
        <family val="1"/>
      </rPr>
      <t>×</t>
    </r>
    <r>
      <rPr>
        <sz val="14"/>
        <rFont val="Preeti"/>
      </rPr>
      <t>!)Æ</t>
    </r>
    <r>
      <rPr>
        <sz val="14"/>
        <rFont val="Times New Roman"/>
        <family val="1"/>
      </rPr>
      <t>×</t>
    </r>
    <r>
      <rPr>
        <sz val="14"/>
        <rFont val="Preeti"/>
      </rPr>
      <t>%</t>
    </r>
  </si>
  <si>
    <r>
      <t xml:space="preserve"> #(_ </t>
    </r>
    <r>
      <rPr>
        <sz val="12"/>
        <rFont val="Times New Roman"/>
        <family val="1"/>
      </rPr>
      <t>Wind bell</t>
    </r>
    <r>
      <rPr>
        <sz val="14"/>
        <rFont val="Preeti"/>
      </rPr>
      <t xml:space="preserve"> xjf 306L $Æ</t>
    </r>
  </si>
  <si>
    <r>
      <t xml:space="preserve"> </t>
    </r>
    <r>
      <rPr>
        <sz val="12"/>
        <rFont val="Preeti"/>
      </rPr>
      <t xml:space="preserve"> $)_ </t>
    </r>
    <r>
      <rPr>
        <sz val="12"/>
        <rFont val="Times New Roman"/>
        <family val="1"/>
      </rPr>
      <t>Snake body brick traditional</t>
    </r>
  </si>
  <si>
    <r>
      <t xml:space="preserve"> $!_ </t>
    </r>
    <r>
      <rPr>
        <sz val="12"/>
        <rFont val="Times New Roman"/>
        <family val="1"/>
      </rPr>
      <t>Snake neck brick ,,</t>
    </r>
  </si>
  <si>
    <r>
      <t xml:space="preserve"> $@_ </t>
    </r>
    <r>
      <rPr>
        <sz val="12"/>
        <rFont val="Times New Roman"/>
        <family val="1"/>
      </rPr>
      <t>Snake head brick ,,</t>
    </r>
  </si>
  <si>
    <r>
      <t xml:space="preserve"> $#_ </t>
    </r>
    <r>
      <rPr>
        <sz val="12"/>
        <rFont val="Times New Roman"/>
        <family val="1"/>
      </rPr>
      <t>Yellow mud (clay) for roofing/B/W</t>
    </r>
  </si>
  <si>
    <t>c:t/ jfx]s b'O{ sf]6 /]8 cS;fO8 k]G6 ug]{ sfd =================================================</t>
  </si>
  <si>
    <r>
      <t>¾"</t>
    </r>
    <r>
      <rPr>
        <sz val="14"/>
        <rFont val="Kanchan"/>
      </rPr>
      <t xml:space="preserve"> </t>
    </r>
    <r>
      <rPr>
        <sz val="14"/>
        <rFont val="Preeti"/>
      </rPr>
      <t xml:space="preserve">kmnfd </t>
    </r>
    <r>
      <rPr>
        <sz val="8"/>
        <rFont val="Arial"/>
        <family val="2"/>
      </rPr>
      <t>Square pipe railing</t>
    </r>
    <r>
      <rPr>
        <sz val="10"/>
        <rFont val="Arial"/>
        <family val="2"/>
      </rPr>
      <t xml:space="preserve"> </t>
    </r>
    <r>
      <rPr>
        <sz val="14"/>
        <rFont val="Preeti"/>
      </rPr>
      <t>agfO{ !</t>
    </r>
    <r>
      <rPr>
        <vertAlign val="superscript"/>
        <sz val="14"/>
        <rFont val="Preeti"/>
      </rPr>
      <t>!</t>
    </r>
    <r>
      <rPr>
        <sz val="14"/>
        <rFont val="Preeti"/>
      </rPr>
      <t>÷</t>
    </r>
    <r>
      <rPr>
        <vertAlign val="subscript"/>
        <sz val="14"/>
        <rFont val="Preeti"/>
      </rPr>
      <t>@</t>
    </r>
    <r>
      <rPr>
        <sz val="14"/>
        <rFont val="Preeti"/>
      </rPr>
      <t>Æ Jof;sf] sfnf] kfO{ksf]</t>
    </r>
    <r>
      <rPr>
        <sz val="14"/>
        <rFont val="Kanchan"/>
      </rPr>
      <t xml:space="preserve"> </t>
    </r>
    <r>
      <rPr>
        <sz val="8"/>
        <rFont val="Arial"/>
        <family val="2"/>
      </rPr>
      <t xml:space="preserve">Handrail </t>
    </r>
    <r>
      <rPr>
        <sz val="14"/>
        <rFont val="Preeti"/>
      </rPr>
      <t xml:space="preserve"> h8fg ug]{ =======================================================================</t>
    </r>
  </si>
  <si>
    <t>ˆnl;+u Knfi6/ l;d]G6 afn'jf -!M!_ df nufpg] sfd =======================================================================</t>
  </si>
  <si>
    <t>l;d]G6 d;nf !M$ tof/ u/L uf/f] nufpg]</t>
  </si>
  <si>
    <t>l;d]G6 d;nf !M^ tof/ u/L uf/f] nufpg]</t>
  </si>
  <si>
    <t xml:space="preserve">Heritage Wall Surface Texture (Interior and Exterior) including the cost supplying and fitting (Heritage roller coat) </t>
  </si>
  <si>
    <t xml:space="preserve">Heritage Wall Surface Texture (Interior and Exterior) including the cost supplying and fitting (Heritage granite finishing) </t>
  </si>
  <si>
    <t xml:space="preserve">Heritage Wall Surface Texture (Interior and Exterior) including the cost supplying and fitting (Heritage flakes) </t>
  </si>
  <si>
    <t xml:space="preserve">Machine made  Brickwork in 1:4 C/S mortar in superstructure in perfect line level finish including wetting the bricks, racking the joints and curing the work for at least 7 days all complete. </t>
  </si>
  <si>
    <t>Machine made  Brickwork in 1:4 C/S mortar in superstructure.</t>
  </si>
  <si>
    <t>Ps sf]6 6f6f /]8 cS;fO8 nufpg] sfd =============================================================================</t>
  </si>
  <si>
    <t xml:space="preserve">Heritage Wall Surface Texture (Interior and Exterior) including the cost supplying and fitting (Heritage Top coat plastic lamination) </t>
  </si>
  <si>
    <t>UPVC/glass</t>
  </si>
  <si>
    <r>
      <t xml:space="preserve">yk ('jfgL b/ </t>
    </r>
    <r>
      <rPr>
        <b/>
        <sz val="14"/>
        <color indexed="21"/>
        <rFont val="Arial"/>
        <family val="2"/>
      </rPr>
      <t>% =</t>
    </r>
    <r>
      <rPr>
        <b/>
        <sz val="14"/>
        <color indexed="21"/>
        <rFont val="FONTASY_ HIMALI_ TT"/>
        <family val="5"/>
      </rPr>
      <t xml:space="preserve">  </t>
    </r>
  </si>
  <si>
    <t>s'FlbPsf] ;fn sf7sf] cfFvL em\ofn jf 9f]sf h8fg ;d]t k'/f</t>
  </si>
  <si>
    <t>sf] cfFvL em\ofn</t>
  </si>
  <si>
    <t>Casement double panel aluminum windows with ventilation. Section size (54×33×1.50)mm, (38×34×1.50)mm &amp;  5 mm glass.</t>
  </si>
  <si>
    <t xml:space="preserve">Casement door of aluminum section in naturally anodized color. Section size (101×45×1.50) mm and 5 mm glass.  </t>
  </si>
  <si>
    <t xml:space="preserve">Swing door door of aluminum section in naturally anodized color. Section size (101×45×1.50) mm and 5 mm glass.   </t>
  </si>
  <si>
    <t xml:space="preserve">Siding windows 2 track in naturally anodized color section of (88×38×1.30)mm  5 mm glass. </t>
  </si>
  <si>
    <t>Fixed windows &amp; partitions with fixed ventilators from 9mm board and section (101×45×1.50)mm</t>
  </si>
  <si>
    <t>i) Aluminium fix panel at sliding windows of section (88 x38.1x1.1)</t>
  </si>
  <si>
    <t>ii) Aluminium sliding window with fixed panels without fly mesh shutter of section (88 x38.1x1.1)</t>
  </si>
  <si>
    <t>iii) Aluminium sliding door of section (101 x45x1.1)</t>
  </si>
  <si>
    <t>iv) Aluminium casement windows of section (54 x38 x1.1)</t>
  </si>
  <si>
    <t>v) Aluminium casement door of section (101 x45 x1.1)</t>
  </si>
  <si>
    <t>iv) Aluminium casement windows of section (54 x38x1.5</t>
  </si>
  <si>
    <t>Fencing with 10 S.W.G.G.I chain link 2"X2" mesh sized framed on 25X25X4 mm angles and 50mm Ø M.S. blackpipe post in 2m interval including jointting , fixing, erection and primer painting with all necessary M.S. grills and plates as per drawing and instruc</t>
  </si>
  <si>
    <t xml:space="preserve"> Fencing with 10 S.W.G.G.I chain link 2"X2" mesh sized framed on 25X25X4 mm angles and 50mm Ø M.S. blackpipe post in 2m interval including jointting , fixing, erection and primer painting with all necessary M.S. grills and plates as per drawing and instru</t>
  </si>
  <si>
    <t>-u_ sf] #Ü n]</t>
  </si>
  <si>
    <t>afn'jf vf]nf</t>
  </si>
  <si>
    <t>9'+uf</t>
  </si>
  <si>
    <t>b/ k|lt 3=dL=sf]</t>
  </si>
  <si>
    <t>s'+b]sf] 9'+ufsf] sfd l;d]G6 afn'jf -!M^_ df</t>
  </si>
  <si>
    <t>s'+b]sf] 9'+uf</t>
  </si>
  <si>
    <t xml:space="preserve">Colouring with one coat white washing in old  surface to give uniform colouring after rendering the surface all complete. </t>
  </si>
  <si>
    <t>Colouring with one coat white washing in old  surface.</t>
  </si>
  <si>
    <t xml:space="preserve">Colouring with one coat distemper paint with one coat primer to give uniform colouring after rendering the surface all complete. </t>
  </si>
  <si>
    <t>Colouring with one coat distemper paint with one coat primer.</t>
  </si>
  <si>
    <t>White glazed earthenware Indian pattern W C  580mm Orissa Pan with 10 liter low level flushing cistern .</t>
  </si>
  <si>
    <t>Set</t>
  </si>
  <si>
    <t xml:space="preserve"> 4.5x20mm size M.S. grill with almunium paints as per design and instruction all complete.</t>
  </si>
  <si>
    <t xml:space="preserve"> 4.5x20mm size M.S. grill with almunium paints.</t>
  </si>
  <si>
    <t xml:space="preserve"> Supply and fixing of M.S. collapsible gate including with primer painting and all necessary accessories all complete</t>
  </si>
  <si>
    <t xml:space="preserve"> Supply and fixing of M.S. collapsible gate including with primer peinting.</t>
  </si>
  <si>
    <t xml:space="preserve"> -u_ ( dL =dL  </t>
  </si>
  <si>
    <t xml:space="preserve"> -3_ !@ dL= dL=] </t>
  </si>
  <si>
    <t xml:space="preserve"> -ª_ !* dL=dL=]  </t>
  </si>
  <si>
    <t xml:space="preserve"> -r_ @% dL=dL </t>
  </si>
  <si>
    <t xml:space="preserve">Colouring with two coat distemper paint with one coat primer to give uniform colouring after rendering the surface all complete. </t>
  </si>
  <si>
    <t>Colouring with two coat distemper paint with one coat primer.</t>
  </si>
  <si>
    <t>1sq=1kg</t>
  </si>
  <si>
    <t>km\n]u:^f]g (+'uf62=5-75dL=dL=d]l;g s^L*0</t>
  </si>
  <si>
    <t>l;=lh=cfO{=kftf 26 u]h 0.38mm</t>
  </si>
  <si>
    <r>
      <t>1</t>
    </r>
    <r>
      <rPr>
        <sz val="11"/>
        <rFont val="Arial"/>
        <family val="2"/>
      </rPr>
      <t xml:space="preserve">" </t>
    </r>
    <r>
      <rPr>
        <b/>
        <sz val="13"/>
        <rFont val="Preeti"/>
      </rPr>
      <t xml:space="preserve"> </t>
    </r>
    <r>
      <rPr>
        <b/>
        <sz val="10"/>
        <rFont val="Arial"/>
        <family val="2"/>
      </rPr>
      <t xml:space="preserve">Square Pipe </t>
    </r>
    <r>
      <rPr>
        <sz val="10"/>
        <rFont val="FONTASY_HIMALI_TT"/>
        <family val="5"/>
      </rPr>
      <t xml:space="preserve">sf] </t>
    </r>
    <r>
      <rPr>
        <sz val="10"/>
        <rFont val="Arial"/>
        <family val="2"/>
      </rPr>
      <t>Railing</t>
    </r>
    <r>
      <rPr>
        <sz val="10"/>
        <rFont val="FONTASY_HIMALI_TT"/>
        <family val="5"/>
      </rPr>
      <t xml:space="preserve">  agfO ;fn  l;;f}sf] xfG*/]n agfO{ h*fg ug]{</t>
    </r>
  </si>
  <si>
    <r>
      <t xml:space="preserve">1" </t>
    </r>
    <r>
      <rPr>
        <b/>
        <sz val="10"/>
        <rFont val="Arial"/>
        <family val="2"/>
      </rPr>
      <t xml:space="preserve">Square Pipe </t>
    </r>
    <r>
      <rPr>
        <b/>
        <sz val="10"/>
        <rFont val="FONTASY_HIMALI_TT"/>
        <family val="5"/>
      </rPr>
      <t xml:space="preserve">sf] </t>
    </r>
    <r>
      <rPr>
        <b/>
        <sz val="10"/>
        <rFont val="Arial"/>
        <family val="2"/>
      </rPr>
      <t>Railing</t>
    </r>
    <r>
      <rPr>
        <b/>
        <sz val="10"/>
        <rFont val="FONTASY_ HIMALI_ TT"/>
        <family val="5"/>
      </rPr>
      <t xml:space="preserve">  </t>
    </r>
    <r>
      <rPr>
        <b/>
        <sz val="10"/>
        <rFont val="FONTASY_HIMALI_TT"/>
        <family val="5"/>
      </rPr>
      <t>agfO 1.5 Aof;sf]sfnf] kfOksf xfG*/]n agfO{ h*fg ug]{</t>
    </r>
  </si>
  <si>
    <t>a=ld</t>
  </si>
  <si>
    <r>
      <t xml:space="preserve">ljleGg ;fOhsf] kmnfd] *)*L </t>
    </r>
    <r>
      <rPr>
        <sz val="12"/>
        <rFont val="Arial"/>
        <family val="2"/>
      </rPr>
      <t>TOR</t>
    </r>
  </si>
  <si>
    <r>
      <t xml:space="preserve">ljleGg ;fOhsf] kmnfd] *)*L </t>
    </r>
    <r>
      <rPr>
        <sz val="12"/>
        <rFont val="Arial"/>
        <family val="2"/>
      </rPr>
      <t>TMT</t>
    </r>
  </si>
  <si>
    <t>Ps a^^f</t>
  </si>
  <si>
    <r>
      <t>l;=lh=cfO{=kftf 24 u]h 0.5</t>
    </r>
    <r>
      <rPr>
        <sz val="12"/>
        <rFont val="Arial"/>
        <family val="2"/>
      </rPr>
      <t>mm</t>
    </r>
  </si>
  <si>
    <r>
      <t>l;=lh=cfO{=kftf 24 u]h 0.45</t>
    </r>
    <r>
      <rPr>
        <sz val="12"/>
        <rFont val="Arial"/>
        <family val="2"/>
      </rPr>
      <t>mm</t>
    </r>
  </si>
  <si>
    <r>
      <t>l;=lh=cfO{=kftf 26 u]h 0.4</t>
    </r>
    <r>
      <rPr>
        <sz val="12"/>
        <rFont val="Arial"/>
        <family val="2"/>
      </rPr>
      <t>1mm</t>
    </r>
  </si>
  <si>
    <r>
      <t xml:space="preserve">24 u]h lh cfO Kn]gl;^ </t>
    </r>
    <r>
      <rPr>
        <sz val="10"/>
        <rFont val="FONTASY_HIMALI_TT"/>
        <family val="5"/>
      </rPr>
      <t>0.5</t>
    </r>
    <r>
      <rPr>
        <sz val="10"/>
        <rFont val="Arial"/>
        <family val="2"/>
      </rPr>
      <t>mm</t>
    </r>
  </si>
  <si>
    <r>
      <rPr>
        <sz val="12"/>
        <rFont val="Arial"/>
        <family val="2"/>
      </rPr>
      <t>Fiber Glass</t>
    </r>
    <r>
      <rPr>
        <sz val="12"/>
        <rFont val="FONTASY_HIMALI_TT"/>
        <family val="5"/>
      </rPr>
      <t xml:space="preserve"> %fgfsf] nflu </t>
    </r>
    <r>
      <rPr>
        <sz val="12"/>
        <rFont val="Arial"/>
        <family val="2"/>
      </rPr>
      <t>Alumunium strip (25 mm x 1.5 mm)</t>
    </r>
  </si>
  <si>
    <r>
      <rPr>
        <sz val="12"/>
        <rFont val="Arial"/>
        <family val="2"/>
      </rPr>
      <t>Fiber Glass</t>
    </r>
    <r>
      <rPr>
        <sz val="12"/>
        <rFont val="FONTASY_HIMALI_TT"/>
        <family val="5"/>
      </rPr>
      <t xml:space="preserve"> %fgfsf] nflu </t>
    </r>
    <r>
      <rPr>
        <sz val="12"/>
        <rFont val="Arial"/>
        <family val="2"/>
      </rPr>
      <t>Ribet nut</t>
    </r>
  </si>
  <si>
    <r>
      <t xml:space="preserve">24 u]h lh cfO Kn]gl;^ </t>
    </r>
    <r>
      <rPr>
        <sz val="10"/>
        <rFont val="FONTASY_HIMALI_TT"/>
        <family val="5"/>
      </rPr>
      <t>0.45</t>
    </r>
    <r>
      <rPr>
        <sz val="10"/>
        <rFont val="Arial"/>
        <family val="2"/>
      </rPr>
      <t>mm</t>
    </r>
  </si>
  <si>
    <t>24 u]h sn/ Kn]gl;^-0=35 Pd=Pd_</t>
  </si>
  <si>
    <r>
      <t xml:space="preserve">24u]h lh cfO Kn]gl;^ </t>
    </r>
    <r>
      <rPr>
        <sz val="10"/>
        <rFont val="FONTASY_HIMALI_TT"/>
        <family val="5"/>
      </rPr>
      <t>0.5</t>
    </r>
    <r>
      <rPr>
        <sz val="10"/>
        <rFont val="Arial"/>
        <family val="2"/>
      </rPr>
      <t>mm(Width=2ft)</t>
    </r>
  </si>
  <si>
    <r>
      <t xml:space="preserve">24 u]h lh cfO Kn]gl;^ </t>
    </r>
    <r>
      <rPr>
        <sz val="10"/>
        <rFont val="FONTASY_HIMALI_TT"/>
        <family val="5"/>
      </rPr>
      <t>0.45</t>
    </r>
    <r>
      <rPr>
        <sz val="10"/>
        <rFont val="Arial"/>
        <family val="2"/>
      </rPr>
      <t>mm(Width=2ft)</t>
    </r>
  </si>
  <si>
    <t>Plain</t>
  </si>
  <si>
    <t>Corrugated</t>
  </si>
  <si>
    <t>ln^/</t>
  </si>
  <si>
    <t>q^f</t>
  </si>
  <si>
    <r>
      <t xml:space="preserve">cnsqf k]G^    </t>
    </r>
    <r>
      <rPr>
        <sz val="12"/>
        <rFont val="Arial"/>
        <family val="2"/>
      </rPr>
      <t>(Black Japan)</t>
    </r>
  </si>
  <si>
    <r>
      <t>;'sL{</t>
    </r>
    <r>
      <rPr>
        <sz val="12"/>
        <rFont val="Arial"/>
        <family val="2"/>
      </rPr>
      <t>(1mt=1200.00)</t>
    </r>
  </si>
  <si>
    <t>kmnfd] sf]nfK;Lan u]^ -h*Fg Hofnf_</t>
  </si>
  <si>
    <t>12mmth. 100mmwide Parquet</t>
  </si>
  <si>
    <t xml:space="preserve">Sisam wood 150mm*30mm*8mm </t>
  </si>
  <si>
    <t>New Items</t>
  </si>
  <si>
    <t>Diesel</t>
  </si>
  <si>
    <t>Petrol</t>
  </si>
  <si>
    <t>Superplastisizer</t>
  </si>
  <si>
    <t>Micro Silica</t>
  </si>
  <si>
    <t>Belly suport</t>
  </si>
  <si>
    <t>Chatai</t>
  </si>
  <si>
    <t>PVC plug</t>
  </si>
  <si>
    <t>Rubber Bidding</t>
  </si>
  <si>
    <t>Wheel Runner</t>
  </si>
  <si>
    <t>Chemicalrodhi Cement</t>
  </si>
  <si>
    <t>Bhusa</t>
  </si>
  <si>
    <t>Gobar</t>
  </si>
  <si>
    <t>Water proofing</t>
  </si>
  <si>
    <t>Rainseal Paint</t>
  </si>
  <si>
    <t>Borehole Export</t>
  </si>
  <si>
    <t>Borehole helper</t>
  </si>
  <si>
    <t>8-10 Tonne Roller</t>
  </si>
  <si>
    <t>1Tonne Roller</t>
  </si>
  <si>
    <t>Excavator - 0.8 m3 capacity</t>
  </si>
  <si>
    <t>Water</t>
  </si>
  <si>
    <t>Litre</t>
  </si>
  <si>
    <t>!% dL6/ b"/L;Dd af]sfgL ug]{ sfo{ ;d]t -?vsf] uf]nfO{ hdLg b]lv ! dL6/ dfly gfKg]_ .</t>
  </si>
  <si>
    <t xml:space="preserve">^!–!@) ;]=dL= uf]nfO{sf] ?v 9fNg] sfo{ xfFufx? sf6L ?vsf] 6'qmf kf/L lgdf{0f :ynaf6 </t>
  </si>
  <si>
    <t xml:space="preserve">^!–!@) ;]=dL= uf]nfO{sf] ?v h/f lemSg] sfo{ h/f p7fpg] / lgdf{0f :ynaf6 </t>
  </si>
  <si>
    <t>3fF; sf6\g] To;sf] h/f lemSg], l9:sf] k'm6fpg] / n]en u/L :yn ;kmf ug]{ ;a} jf]sgL ;d]t</t>
  </si>
  <si>
    <t xml:space="preserve">3fF;sf] rk/L nufpg] sfd rk/L sf6\g], af]sfgL ug]{, kfgL / dn 5g]{ </t>
  </si>
  <si>
    <t>cflb af]sfgL ;d]t -;le{;/f]8 cflb_</t>
  </si>
  <si>
    <t>/;folgs dn</t>
  </si>
  <si>
    <t>hfnL /fvL ! dL6/ cUnf] 6«L uf8{ agfO{ ;'/lIft ug]{, kfgL / dn 5g]{ cflb af]sfgL ;d]t</t>
  </si>
  <si>
    <t>b/ ljZn]if0fsf] nflu !) ?v lnOPsf]</t>
  </si>
  <si>
    <t>lj?jf</t>
  </si>
  <si>
    <r>
      <t>#</t>
    </r>
    <r>
      <rPr>
        <sz val="13"/>
        <rFont val="Calibri"/>
        <family val="2"/>
        <scheme val="minor"/>
      </rPr>
      <t>x</t>
    </r>
    <r>
      <rPr>
        <sz val="13"/>
        <rFont val="Preeti"/>
      </rPr>
      <t>@) dLdL sf] kmnfd] kftf</t>
    </r>
  </si>
  <si>
    <t>-b/ ljZn]if0fsf] nflu g/d df6f] / ulx/fO{ !@ dL6/ lnOPsf]_</t>
  </si>
  <si>
    <t>df6f] k/LIf0f ug]{ sfd af]/ xf]n vGg], gd"gf ;+sng tyf k|of]uzfnf k/LIf0f ug]{, k|ltj]bg tof/ ug]{ ;d]t</t>
  </si>
  <si>
    <t>b/ ljZn]if0fsf] nflu k|lt af]/ xf]n lnOPsf]</t>
  </si>
  <si>
    <t>lj1</t>
  </si>
  <si>
    <t>;xfos</t>
  </si>
  <si>
    <t>A3</t>
  </si>
  <si>
    <t>A4</t>
  </si>
  <si>
    <t>A5</t>
  </si>
  <si>
    <t>A6</t>
  </si>
  <si>
    <t>A7</t>
  </si>
  <si>
    <t xml:space="preserve">lj:kmf]6g ljgf dWod k|sf/ 9'Ëfdf </t>
  </si>
  <si>
    <t>kfgL</t>
  </si>
  <si>
    <t>nL6/</t>
  </si>
  <si>
    <t>jfn'jf eg]{, kfgL 5g]{ / HofdLåf/f sDk]s ug]{ sfd</t>
  </si>
  <si>
    <t>-!) dL6/ 9'jfgL ;d]t_</t>
  </si>
  <si>
    <t>b/ ljZn]if0fsf] nflu ! 3= ld= lnOPsf]</t>
  </si>
  <si>
    <t>hudf u|fen e/L HofdLåf/f w'd{'; sDKofS6 ug]{ sfd</t>
  </si>
  <si>
    <t>@)÷@) ;]=dL= txdf k'l/Psf] df6f]nfO{ /f]n/åf/f sDKofS6 ug]{ sfd</t>
  </si>
  <si>
    <t>b/ ljZn]if0fsf] nflu !)) 3=ld= lnOPsf]</t>
  </si>
  <si>
    <t>/f]n/ -*–!) d]=6=_</t>
  </si>
  <si>
    <t>@)÷@) ;]=dL= txdf k'l/Psf] df6f]nfO{ Ps 6gsf] xft] /f]n/åf/f sDKofS6 ug]{ sfd</t>
  </si>
  <si>
    <t>b/ ljZn]if0fsf] nflu !)) 3= ld= lnOPsf]</t>
  </si>
  <si>
    <t>/f]n/ -! 6g_</t>
  </si>
  <si>
    <t>l8h]n</t>
  </si>
  <si>
    <t>PS;fe]6/ -)=* 3=dL= Ifdtf_</t>
  </si>
  <si>
    <t>B5</t>
  </si>
  <si>
    <t>B6</t>
  </si>
  <si>
    <t>B7</t>
  </si>
  <si>
    <t>C3</t>
  </si>
  <si>
    <t>uf/f]sf] aflx/L ;txdf brL ckf k|of]u u/L l;d]G6 jfn'jf -!M$_</t>
  </si>
  <si>
    <t>d;nfdf uf/f] nufO{ r'gf;'sL{n] l6Ksf/ ;d]t ug]{ sfd</t>
  </si>
  <si>
    <t>O{6f -brL ckf_</t>
  </si>
  <si>
    <t>C4</t>
  </si>
  <si>
    <t>O{6f uf/f]sf] sfd O{6f pknAw ug]{, l;d]G6, jfn'jf -!M^_ d;nf tof/ u/L ¥of6 6«ofk</t>
  </si>
  <si>
    <t xml:space="preserve">af]08df uf/f] nufpg] sfd k"/f </t>
  </si>
  <si>
    <t>s+lqm6 xf]nf] Anssf] uf/f] l;d]G6, jfn'jf -!M$_ df nufpg] sfd</t>
  </si>
  <si>
    <t>#) dL= ;Dd 9'jfgL ;d]t</t>
  </si>
  <si>
    <t>D3</t>
  </si>
  <si>
    <t>d]lzgsf] k|of]u u/L hu leQf kvf{ndf l;d]G6 s+lqm6 ug]{ sfd dfn;fdfg pknAw ug]{</t>
  </si>
  <si>
    <t>ldS;/</t>
  </si>
  <si>
    <t>efOa]|6/</t>
  </si>
  <si>
    <t>k]6«f]n</t>
  </si>
  <si>
    <t>d]lzgsf] k|of]u u/L ;'k/ :6«Sr/df l;d]G6 s+lqm6 ug]{ sfd dfn;fdfg pknAw ug]{</t>
  </si>
  <si>
    <t>-lk=;L=;L= !M!=%M#_</t>
  </si>
  <si>
    <t xml:space="preserve">dfn;fdfg pknAw #) dL6/;Dd 9'jfgL ;lxt </t>
  </si>
  <si>
    <t>;'k/ Knfli6;fOh/</t>
  </si>
  <si>
    <t>dfOqmf] l;lnsf</t>
  </si>
  <si>
    <t xml:space="preserve">d]lzgsf] k|of]u u/L ;'k/ :6«Sr/df dfOqmf] l;lnsf tyf Knfli6;fOh/sf] k|of]u u/L l;d]G6 s+lqm6 ug]{ sfd </t>
  </si>
  <si>
    <t>!)–@) dL=dL=9'+uf -qm;\8_ /f]8f</t>
  </si>
  <si>
    <t>D5</t>
  </si>
  <si>
    <t>D4</t>
  </si>
  <si>
    <t>D6</t>
  </si>
  <si>
    <t>D7</t>
  </si>
  <si>
    <t xml:space="preserve">hudf cf/=l;=l;= sf] l;Ën c08//Ld kfOn 9nfg ug]{ sfd </t>
  </si>
  <si>
    <t xml:space="preserve">dfn;fdfg pknAw ug]{ /  #) dL6/;Dd 9'jfgL ;lxt </t>
  </si>
  <si>
    <r>
      <t xml:space="preserve">-ljZn]if0fsf] nflu #&amp;% ld=ld= Jof; / ^ ld6/ nDafOsf] kfO{k / </t>
    </r>
    <r>
      <rPr>
        <sz val="10"/>
        <rFont val="Calibri"/>
        <family val="2"/>
        <scheme val="minor"/>
      </rPr>
      <t>M20</t>
    </r>
    <r>
      <rPr>
        <sz val="12"/>
        <rFont val="Preeti"/>
      </rPr>
      <t xml:space="preserve"> s+lqm6 lnOPsf]_</t>
    </r>
  </si>
  <si>
    <t>jf]/f</t>
  </si>
  <si>
    <r>
      <t xml:space="preserve">gf]6 M ^ k6s;Dd k|of]u ug{ ;lsg] To; kl5 kmdf{sf] d"No @%Ü afFls /xg] lx;fj ul/Psf] -)=&amp;% </t>
    </r>
    <r>
      <rPr>
        <sz val="10"/>
        <color theme="1"/>
        <rFont val="Arial"/>
        <family val="2"/>
      </rPr>
      <t>X</t>
    </r>
    <r>
      <rPr>
        <sz val="10"/>
        <color theme="1"/>
        <rFont val="Preeti"/>
      </rPr>
      <t xml:space="preserve"> )=%@^Ö)=)&amp; 3=dL=_</t>
    </r>
  </si>
  <si>
    <r>
      <t>jLdsf] prfO{ )=#) dL=</t>
    </r>
    <r>
      <rPr>
        <sz val="16"/>
        <color theme="1"/>
        <rFont val="Arial"/>
        <family val="2"/>
      </rPr>
      <t>~</t>
    </r>
    <r>
      <rPr>
        <sz val="16"/>
        <color theme="1"/>
        <rFont val="Preeti"/>
      </rPr>
      <t xml:space="preserve"> )=*) ld= ;Dd .</t>
    </r>
  </si>
  <si>
    <r>
      <t>gf]6</t>
    </r>
    <r>
      <rPr>
        <sz val="11"/>
        <color theme="1"/>
        <rFont val="Preeti"/>
      </rPr>
      <t xml:space="preserve"> M sf7 M ^ k6s;dd k|of]u ug{ ;lsg] To;kl5 @%Ü d"No afFsL /xg] lx;fan] ul/Psf] </t>
    </r>
  </si>
  <si>
    <t>dfn;fdfg pknAw u/L )=$% dL=dL= afSnf] ;L=hL=cfO{= zL6 -h:tf kftfsf]_ 5fgf 5fpg] sfd k'/f .</t>
  </si>
  <si>
    <r>
      <t>CGI</t>
    </r>
    <r>
      <rPr>
        <sz val="13"/>
        <rFont val="Preeti"/>
      </rPr>
      <t xml:space="preserve"> </t>
    </r>
    <r>
      <rPr>
        <sz val="10"/>
        <rFont val="Preeti"/>
      </rPr>
      <t xml:space="preserve">kftf @$ u]h </t>
    </r>
    <r>
      <rPr>
        <sz val="8"/>
        <rFont val="Arial"/>
        <family val="2"/>
      </rPr>
      <t>(0.45 mm)</t>
    </r>
  </si>
  <si>
    <r>
      <t xml:space="preserve">dfn;fdfg pknAw u/L )=%) dL=dL= </t>
    </r>
    <r>
      <rPr>
        <sz val="12"/>
        <rFont val="Arial"/>
        <family val="2"/>
      </rPr>
      <t>Plain</t>
    </r>
    <r>
      <rPr>
        <sz val="14"/>
        <rFont val="Preeti"/>
      </rPr>
      <t xml:space="preserve"> hL=cfO{= zL6sf] @ lkm6 rf}8fO{sf] w'/L agfO{ </t>
    </r>
  </si>
  <si>
    <r>
      <t xml:space="preserve">dfn;fdfg pknAw u/L )=$% dL=dL= </t>
    </r>
    <r>
      <rPr>
        <sz val="12"/>
        <rFont val="Arial"/>
        <family val="2"/>
      </rPr>
      <t>Plain</t>
    </r>
    <r>
      <rPr>
        <sz val="14"/>
        <rFont val="Preeti"/>
      </rPr>
      <t xml:space="preserve"> hL=cfO{= zL6sf] @ lkm6 rf}8fO{sf] w'/L agfO{ </t>
    </r>
  </si>
  <si>
    <r>
      <t xml:space="preserve">kftfsf] 5fgf 5fpg] sfd k'/f . </t>
    </r>
    <r>
      <rPr>
        <sz val="14"/>
        <rFont val="Preeti"/>
      </rPr>
      <t>-)=$! dL=dL=afSnf] _</t>
    </r>
  </si>
  <si>
    <t xml:space="preserve">dfn;fdfg pknAw u/L )=$% dL=dL= /+lug =hL=cfO{= zL6sf] w'/L agfO{ </t>
  </si>
  <si>
    <t xml:space="preserve">dfn;fdfg pknAw u/L )=%) dL=dL=  /+uLg hL=cfO{= zL6sf] w'/L agfO{ </t>
  </si>
  <si>
    <t>)=%) /+uLg zL6</t>
  </si>
  <si>
    <t>)=$% /+lug zL6</t>
  </si>
  <si>
    <t xml:space="preserve">0=5 dL=dL Kn]g /+lug kftf -rf}*fO{ 2 lkm^_ </t>
  </si>
  <si>
    <r>
      <t xml:space="preserve">0=45 dL=dL Kn]g /+lug kftf </t>
    </r>
    <r>
      <rPr>
        <sz val="12"/>
        <rFont val="HIMALAYA TT FONT"/>
        <family val="5"/>
      </rPr>
      <t>-rf}*fO{ 2 lkm^_</t>
    </r>
  </si>
  <si>
    <r>
      <t>0=5 dL=dL Kn]g /+lug kftf -4</t>
    </r>
    <r>
      <rPr>
        <sz val="12"/>
        <rFont val="Calibri"/>
        <family val="2"/>
        <scheme val="minor"/>
      </rPr>
      <t>'</t>
    </r>
    <r>
      <rPr>
        <sz val="12"/>
        <rFont val="Arial"/>
        <family val="2"/>
      </rPr>
      <t>x</t>
    </r>
    <r>
      <rPr>
        <sz val="12"/>
        <rFont val="FONTASY_HIMALI_TT"/>
        <family val="5"/>
      </rPr>
      <t xml:space="preserve"> 8</t>
    </r>
    <r>
      <rPr>
        <sz val="12"/>
        <rFont val="Calibri"/>
        <family val="2"/>
        <scheme val="minor"/>
      </rPr>
      <t>'</t>
    </r>
    <r>
      <rPr>
        <sz val="12"/>
        <rFont val="FONTASY_HIMALI_TT"/>
        <family val="5"/>
      </rPr>
      <t>_</t>
    </r>
  </si>
  <si>
    <r>
      <t>0=45 dL=dL Kn]g /+lug kftf -4</t>
    </r>
    <r>
      <rPr>
        <sz val="12"/>
        <rFont val="Calibri"/>
        <family val="2"/>
        <scheme val="minor"/>
      </rPr>
      <t>'</t>
    </r>
    <r>
      <rPr>
        <sz val="12"/>
        <rFont val="Arial"/>
        <family val="2"/>
      </rPr>
      <t>x</t>
    </r>
    <r>
      <rPr>
        <sz val="12"/>
        <rFont val="FONTASY_HIMALI_TT"/>
        <family val="5"/>
      </rPr>
      <t xml:space="preserve"> 8</t>
    </r>
    <r>
      <rPr>
        <sz val="12"/>
        <rFont val="Calibri"/>
        <family val="2"/>
        <scheme val="minor"/>
      </rPr>
      <t>'</t>
    </r>
    <r>
      <rPr>
        <sz val="12"/>
        <rFont val="FONTASY_HIMALI_TT"/>
        <family val="5"/>
      </rPr>
      <t>_</t>
    </r>
  </si>
  <si>
    <r>
      <t xml:space="preserve">dfn;fdfg pknAw u/L </t>
    </r>
    <r>
      <rPr>
        <sz val="12"/>
        <rFont val="Arial"/>
        <family val="2"/>
      </rPr>
      <t>0.50mm</t>
    </r>
    <r>
      <rPr>
        <sz val="16"/>
        <rFont val="Preeti"/>
      </rPr>
      <t xml:space="preserve">  Kn]g zL6sf] !%) ld=ld= rf}8fO{, $%) ld=ld= ;Ddsf] </t>
    </r>
    <r>
      <rPr>
        <b/>
        <sz val="12"/>
        <rFont val="Arial"/>
        <family val="2"/>
      </rPr>
      <t/>
    </r>
  </si>
  <si>
    <r>
      <t>u6/ agfO{ $)</t>
    </r>
    <r>
      <rPr>
        <sz val="12"/>
        <rFont val="Calibri"/>
        <family val="2"/>
        <scheme val="minor"/>
      </rPr>
      <t>X</t>
    </r>
    <r>
      <rPr>
        <sz val="16"/>
        <rFont val="Preeti"/>
      </rPr>
      <t># ld=ld= sf] kmnfd] a|fs]6, g6af]N6, jf;/ nufpg] ;d]t sfd k'/f .</t>
    </r>
  </si>
  <si>
    <r>
      <t xml:space="preserve">   </t>
    </r>
    <r>
      <rPr>
        <sz val="14"/>
        <rFont val="Preeti"/>
      </rPr>
      <t xml:space="preserve">;fbf </t>
    </r>
    <r>
      <rPr>
        <sz val="12"/>
        <rFont val="Calibri"/>
        <family val="2"/>
        <scheme val="minor"/>
      </rPr>
      <t xml:space="preserve">0.50mm </t>
    </r>
    <r>
      <rPr>
        <sz val="14"/>
        <rFont val="Preeti"/>
      </rPr>
      <t>sf] Kn]g l;6</t>
    </r>
  </si>
  <si>
    <t>a|fs]6</t>
  </si>
  <si>
    <t>jf;/</t>
  </si>
  <si>
    <t>af]N6</t>
  </si>
  <si>
    <r>
      <t xml:space="preserve">dfn;fdfg pknAw u/L </t>
    </r>
    <r>
      <rPr>
        <sz val="12"/>
        <rFont val="Arial"/>
        <family val="2"/>
      </rPr>
      <t>0.50mm</t>
    </r>
    <r>
      <rPr>
        <sz val="16"/>
        <rFont val="Preeti"/>
      </rPr>
      <t xml:space="preserve">  /+uLg Kn]g zL6sf] !%) ld=ld= rf}8fO{, $%) ld=ld= ;Ddsf] </t>
    </r>
    <r>
      <rPr>
        <b/>
        <sz val="12"/>
        <rFont val="Arial"/>
        <family val="2"/>
      </rPr>
      <t/>
    </r>
  </si>
  <si>
    <r>
      <t xml:space="preserve">   </t>
    </r>
    <r>
      <rPr>
        <sz val="12"/>
        <rFont val="Calibri"/>
        <family val="2"/>
        <scheme val="minor"/>
      </rPr>
      <t xml:space="preserve">0.50mm </t>
    </r>
    <r>
      <rPr>
        <sz val="14"/>
        <rFont val="Preeti"/>
      </rPr>
      <t>sf] /+uLg Kn]g l;6</t>
    </r>
  </si>
  <si>
    <t>F7</t>
  </si>
  <si>
    <t>F14</t>
  </si>
  <si>
    <t xml:space="preserve">kmfOj/ Unf; Kn]g  !=@ dLdL= afSnf] </t>
  </si>
  <si>
    <t>dfn;fdfg pknAw u/L !=@ ld=ld= sf]?u]6]8 kmfO{j/ Unf; kftfn] 5fgf 5fpg] sfd .</t>
  </si>
  <si>
    <t>dfn;fdfg pknAw u/L !=@ ld=ld= Kn]g kmfO{j/ Unf; kftfn] 5fgf 5fpg] sfd .</t>
  </si>
  <si>
    <t xml:space="preserve">kmfOj/ Unf; sf]?u]6]8  !=@ dLdL= afSnf] </t>
  </si>
  <si>
    <t>cu|fv sf7sf] jLd blng cflb agfO{ hf]8\g] .</t>
  </si>
  <si>
    <t>lSnk</t>
  </si>
  <si>
    <t>k]r lsNnf</t>
  </si>
  <si>
    <t># ld=ld= kftf</t>
  </si>
  <si>
    <r>
      <t xml:space="preserve">gf]6 M -#* </t>
    </r>
    <r>
      <rPr>
        <sz val="8"/>
        <rFont val="Arial"/>
        <family val="2"/>
      </rPr>
      <t>X</t>
    </r>
    <r>
      <rPr>
        <sz val="11"/>
        <rFont val="Preeti"/>
      </rPr>
      <t xml:space="preserve"> &amp;% dL=dL= lr/fg ;fn sf7af6 k|m]d tof/ u/L P]gf vfkf jgfpg] u/L lx;fj ul/Psf] _</t>
    </r>
  </si>
  <si>
    <t># dL=dL= sdl;{on KnfO{p8 b'j} tkm{ 7f]sL ˆn; vfkf agfO{ hf]8\g] .</t>
  </si>
  <si>
    <t># dL=dL=sdl;{on Knfp8</t>
  </si>
  <si>
    <t>sd{l;on KnfOp* 3=dL=dL=</t>
  </si>
  <si>
    <t>^ dL=dL= jf6/k|'km KnfO{p8 Pstkm{ / csf]{tkm{ # dL=dL= sdl;{on KnfOp8 7f]sL ˆn; vfkf agfO{ hf]8\g] .</t>
  </si>
  <si>
    <t># dL=dL= sdl;{on KnfOp8</t>
  </si>
  <si>
    <t>lh=cfO{ d:SjL6f] k|'km hfnL</t>
  </si>
  <si>
    <t>sd{l;on KnfOp* 4=dL=dL=</t>
  </si>
  <si>
    <t>F15</t>
  </si>
  <si>
    <t>F23</t>
  </si>
  <si>
    <t>)=% dL=dL=hL=cfO{= Kn]g lz6</t>
  </si>
  <si>
    <t>)=% dL=dL= hL=cfO{= Kn]g zL6 b'j} k§L vfkf agfO{ hf]8\g] .</t>
  </si>
  <si>
    <t xml:space="preserve"> hL=cfO{= d:SjL6f] k|'km jfo/ d]z / 8fod08 qm; hfnL ;lxt 7f]sL vfkf agfO{ hf]8\g] .</t>
  </si>
  <si>
    <t>8fod08 qm; hfnL</t>
  </si>
  <si>
    <t xml:space="preserve"> hL=cfO{= d:SjL6f] k|'km jfo/ d]z ;lxt 7f]sL vfkf agfO{ hf]8\g] .</t>
  </si>
  <si>
    <t>hr</t>
  </si>
  <si>
    <t>Uria</t>
  </si>
  <si>
    <t>Polytheen bag</t>
  </si>
  <si>
    <t>No</t>
  </si>
  <si>
    <t>Mixture mechin</t>
  </si>
  <si>
    <t>Anti-slip Tile</t>
  </si>
  <si>
    <t>Vetri-Fied Tile</t>
  </si>
  <si>
    <t>40x3mm MS Bracket(704Gram)</t>
  </si>
  <si>
    <t>Powder coating Fixer</t>
  </si>
  <si>
    <t>Self Taping Screw 3"</t>
  </si>
  <si>
    <t>Self Taping Screw 2"</t>
  </si>
  <si>
    <t>Self Taping Screw 1"</t>
  </si>
  <si>
    <t>Carbon Fibre UPVC</t>
  </si>
  <si>
    <t>sqm</t>
  </si>
  <si>
    <t xml:space="preserve">%) dL=dL= afSnf] 5fKg] 9'+uf -ˆn}u:6f]g_ !M$ l;d]G6 afn'jf </t>
  </si>
  <si>
    <t>%) dL=dL= ;Ddsf] 5fkf] 9'+uf afn'jf 5fKg] .</t>
  </si>
  <si>
    <t>kfs]6 lj5\ofpg] / vfS;L nufO{ kfln; ug]{ sfd .</t>
  </si>
  <si>
    <t>kfs]{6</t>
  </si>
  <si>
    <t>u|] OG6/nls+u Ans</t>
  </si>
  <si>
    <t>Sn] 6fon -!a=dL a/fa/ ^# j6f_</t>
  </si>
  <si>
    <t>C.C. Tile (Red)</t>
  </si>
  <si>
    <t>@% dL=dL= l;d]G6 s+lqm6 6fon -/ftf] /+usf]_ !M$ l;d]G6 d;nfdf 5fKg] sfd .</t>
  </si>
  <si>
    <t>@% dL=dL= l;d]G6 s+lqm6 6fon -v}/f] /+usf]_ !M$ l;d]G6 d;nfdf 5fKg] sfd .</t>
  </si>
  <si>
    <t>C.C. Tile (Grey)</t>
  </si>
  <si>
    <t>H25</t>
  </si>
  <si>
    <t>u_ 3f]6\g] HofdL</t>
  </si>
  <si>
    <t>PlG6l:nk l;d]G6 6fOn</t>
  </si>
  <si>
    <r>
      <t xml:space="preserve">#)) </t>
    </r>
    <r>
      <rPr>
        <sz val="10"/>
        <rFont val="Arial"/>
        <family val="2"/>
      </rPr>
      <t>X</t>
    </r>
    <r>
      <rPr>
        <sz val="14"/>
        <rFont val="Preeti"/>
      </rPr>
      <t xml:space="preserve"> #)) dL=dL= @% dL=dL= afSnf] PlG6l:nk l;d]G6 6fOn l;d]G6 jfn'jfdf -!M$_ nufpg] sfd .</t>
    </r>
  </si>
  <si>
    <r>
      <t xml:space="preserve">#)) </t>
    </r>
    <r>
      <rPr>
        <sz val="10"/>
        <rFont val="Arial"/>
        <family val="2"/>
      </rPr>
      <t>X</t>
    </r>
    <r>
      <rPr>
        <sz val="14"/>
        <rFont val="Preeti"/>
      </rPr>
      <t xml:space="preserve"> #)) dL=dL= ;fOhsf] !) dL=dL= afSnf] Pl;8 jf PNsfnL k|lt/f]ws 6fOn l;d]G6 jfn'jfdf -!M$_ nufpg] sfd .</t>
    </r>
  </si>
  <si>
    <t>s]ldSn/f]wL l;d]G6</t>
  </si>
  <si>
    <t>/a/ j]:8 P8]l;edf lk=le=l;=6fOn nufpg] /f]lnË ug]{ ;d]t sfo{ .</t>
  </si>
  <si>
    <t>lk=le=;L= 6fOn</t>
  </si>
  <si>
    <t xml:space="preserve">!^ dL=dL= dfj{n  @) dL=dL= afSnf] </t>
  </si>
  <si>
    <t>!^ dL=dL= dfj{n  !@=% dL=dL= afSnf] !M# efusf] l;d]G6 d;nfdf</t>
  </si>
  <si>
    <t xml:space="preserve"> e¥ofÍ v'8\lsnf, :sl6{Ë, leQf, lkn/ cflbdf 5fkL 3f]6\g] / kflnz ;d]t ug]{ .</t>
  </si>
  <si>
    <t>H36</t>
  </si>
  <si>
    <t>e¥ofËsf] v'8\lsnfdf dfj{n gf]lhË ug{sf nflu yk &gt;lds</t>
  </si>
  <si>
    <t>dfj{n kf]ln; dfq ug{sf nflu cfjZos &gt;lds</t>
  </si>
  <si>
    <t xml:space="preserve">!@ dL=dL= afSnf] !)) dL=dL= prfO{sf] sf7sf] kfs]{6n] </t>
  </si>
  <si>
    <t>sf]7fx?df :sl6{Ë ug]{ sfd .</t>
  </si>
  <si>
    <t>!@ dL=dL= afSnf] l;d]G6 jfn'jf -!M^_ df gg\Un]H8 6fOnsf]</t>
  </si>
  <si>
    <t>!)) dL=dL= cUnf] :sl6{Ë ug]{ sfd .</t>
  </si>
  <si>
    <t>b/ ljZn]if0fsf] nflu /=dL= lnOPsf]</t>
  </si>
  <si>
    <t>Okf]S;L u|fp6, lkUd]G6</t>
  </si>
  <si>
    <t>Knfi6/ dfly @) dL=dL= afSnf] emNn/ jf kfgL k§L agfpg] sfd .</t>
  </si>
  <si>
    <t>b/ ljZn]if0fsf] nflu ! /=dL=lnOPsf]</t>
  </si>
  <si>
    <t>jf6/k|'lkmË</t>
  </si>
  <si>
    <t>leQf Pjd\ l;lnËdf @ ld=ld= Kn]g XjfO{6 k'§L Knfi6/ ug]{ sfo{ .</t>
  </si>
  <si>
    <t>XjfO{6 k§L</t>
  </si>
  <si>
    <t>gofF ;km]{;df XjfO{6jf; tLgsf]6 ug]{ sfd -cGoq_ .</t>
  </si>
  <si>
    <t>Knf:6/ ;km]{;df XjfO6 l;d]G6 Ps sf]6 nufpg] sfd .</t>
  </si>
  <si>
    <t>XjfO6 l;d]G6</t>
  </si>
  <si>
    <t>Knf:6/ ;km]{;df XjfO6 l;d]G6 b'O{ sf]6 nufpg] sfd .</t>
  </si>
  <si>
    <t>Providing material &amp; applying pressure grouting on RCC Roof slab</t>
  </si>
  <si>
    <t>k|]z/ u|fpl6ª</t>
  </si>
  <si>
    <t>Providing material &amp; applying pressure grouting on basement slab</t>
  </si>
  <si>
    <t>Providing material &amp; applying pressure grouting and sealing RCC slab crack</t>
  </si>
  <si>
    <t xml:space="preserve">Providing material &amp; applying pressure grouting on RCC Column </t>
  </si>
  <si>
    <t>b/ ljZn]if0fsf] nflu ! KjfOG6 lnOPsf]</t>
  </si>
  <si>
    <t>KjfOG6</t>
  </si>
  <si>
    <t>b/ /]6 k|lt KjfOG6sf]</t>
  </si>
  <si>
    <t xml:space="preserve">Waterproofing treatment by Crystallization Process by applying </t>
  </si>
  <si>
    <t xml:space="preserve">two coats of perma Seal or equivalent all complete. </t>
  </si>
  <si>
    <t>lqm:6LnfOh]zg l;n</t>
  </si>
  <si>
    <r>
      <t xml:space="preserve">Expansion Joint Works: -                          </t>
    </r>
    <r>
      <rPr>
        <sz val="8"/>
        <rFont val="Times New Roman"/>
        <family val="1"/>
      </rPr>
      <t>Providing and chipping and plaster with mixing  Perma Bond SBR modified mortar up to 40 mm wide on levelling all complete. Providing and laying thermacol in the hole, Providing masking tape on thermacol  a</t>
    </r>
  </si>
  <si>
    <t xml:space="preserve">Expansion Joint Works: -  Chipping  and laying thermacol in the hole,  masking tape on </t>
  </si>
  <si>
    <t xml:space="preserve">mortar up to 40 mm wide and  levelling all complete. </t>
  </si>
  <si>
    <t xml:space="preserve">the  thermacol and plaster with mixing  Perma Bond SBR or eqv.  modified </t>
  </si>
  <si>
    <t>PSkfG;g HjfOG6</t>
  </si>
  <si>
    <t>tyf k'gM k|of]u ug]{ ;lsg] u/L yGsfpg] sfd .</t>
  </si>
  <si>
    <t xml:space="preserve">df6f]sf] d;nfsf] uf/f]af6 O{6f lemls nfu]sf] d;nf ;kmf ug]{ </t>
  </si>
  <si>
    <t>b/ ljZn]if0fsf] nflu !))) uf]6f lnOPsf]</t>
  </si>
  <si>
    <t>8f]/L cflb</t>
  </si>
  <si>
    <t>b/ k|lt uf]6fsf]</t>
  </si>
  <si>
    <t xml:space="preserve">r'gf ;'sL{sf] d;nfsf] uf/f]af6 O{6f lemls nfu]sf] d;nf ;kmf ug]{ </t>
  </si>
  <si>
    <t xml:space="preserve">l;d]G6 d;nfsf] uf/f]af6 O{6f lemls nfu]sf] d;nf ;kmf ug]{ </t>
  </si>
  <si>
    <t>s'+b]sf] 9'Ëf, dfj{n jf lk|sfi6 s+lqm6 -r'gf, ;'sL{ d;nfdf_ eTsfpg] sfd .</t>
  </si>
  <si>
    <t>s'+b]sf] 9'Ëf, dfj{n jf lk|sfi6 s+lqm6 -l;d]G6 d;nfdf_ eTsfpg] sfd .</t>
  </si>
  <si>
    <t xml:space="preserve">b/ ljZn]if0fsf] nflu ! 3=dL= lnOPsf] </t>
  </si>
  <si>
    <t xml:space="preserve">b/ ljZn]if0fsf] nflu ! D]f=6= lnOPsf] </t>
  </si>
  <si>
    <t xml:space="preserve"> UofF;, UofF; s6/ / 8f]/L cflb</t>
  </si>
  <si>
    <t>kmnfd] sfd -Rofgn PËn 6L cflb_ x6fpg] sfo{ lemSg], 5'6\ofpg] / /fd|/L yGsfpg] ;d]t</t>
  </si>
  <si>
    <t>cf/=l;=l;=km]G;sf] sfd x6fpg] df6f] vGg] / vfN8f]df df6f] ;Dofpg] ;d]t sfd .</t>
  </si>
  <si>
    <t xml:space="preserve">b/ ljZn]if0fsf] nflu ! j=dL= lnOPsf] </t>
  </si>
  <si>
    <t>kmnfd] km]G;sf] sfd x6fpg] df6f] vGg] / vfN8f]df df6f] ;Dofpg] ;d]t sfd .</t>
  </si>
  <si>
    <t>sf7] km]G;sf] sfd x6fpg] df6f] vGg] / vfN8f]df df6f] ;Dofpg] ;d]t sfd .</t>
  </si>
  <si>
    <r>
      <t xml:space="preserve">$=% </t>
    </r>
    <r>
      <rPr>
        <sz val="10"/>
        <rFont val="Arial"/>
        <family val="2"/>
      </rPr>
      <t>X</t>
    </r>
    <r>
      <rPr>
        <sz val="16"/>
        <rFont val="Preeti"/>
      </rPr>
      <t xml:space="preserve"> @) dL=dL= kmnfd] lu|n agfO{ vfS;L nufO{ /]8cS;fO8 k]G6 ;d]t u/L hf]8\g]</t>
    </r>
  </si>
  <si>
    <r>
      <t xml:space="preserve"># </t>
    </r>
    <r>
      <rPr>
        <sz val="9"/>
        <rFont val="Arial"/>
        <family val="2"/>
      </rPr>
      <t>X</t>
    </r>
    <r>
      <rPr>
        <sz val="16"/>
        <rFont val="Preeti"/>
      </rPr>
      <t xml:space="preserve"> @) dL=dL= kmnfd] lu|n agfO{ vfS;L nufO{ /]8cS;fO8 k]G6 ;d]t u/L hf]8\g]</t>
    </r>
  </si>
  <si>
    <r>
      <t xml:space="preserve"># </t>
    </r>
    <r>
      <rPr>
        <sz val="8"/>
        <rFont val="Arial"/>
        <family val="2"/>
      </rPr>
      <t>X</t>
    </r>
    <r>
      <rPr>
        <sz val="13"/>
        <rFont val="Preeti"/>
      </rPr>
      <t xml:space="preserve"> @) dL=dL= kmnfd] lu|n agfO{</t>
    </r>
  </si>
  <si>
    <r>
      <t xml:space="preserve">$=% </t>
    </r>
    <r>
      <rPr>
        <sz val="10"/>
        <rFont val="Arial"/>
        <family val="2"/>
      </rPr>
      <t>X</t>
    </r>
    <r>
      <rPr>
        <sz val="13"/>
        <rFont val="Preeti"/>
      </rPr>
      <t xml:space="preserve"> @) dL=dL= kmnfd] lu|n agfO{ hf]8\g]</t>
    </r>
  </si>
  <si>
    <t>lu|n agfO{ hf]8\g]</t>
  </si>
  <si>
    <r>
      <t xml:space="preserve">b/ ljZn]if0fsf] nflu !=)) /=ld= lnOPsf]-e¥ofªsf] gfkL ubf{ </t>
    </r>
    <r>
      <rPr>
        <sz val="11"/>
        <rFont val="Arial"/>
        <family val="2"/>
      </rPr>
      <t xml:space="preserve">floor to floor height </t>
    </r>
    <r>
      <rPr>
        <sz val="14"/>
        <rFont val="Preeti"/>
      </rPr>
      <t>lng]_</t>
    </r>
  </si>
  <si>
    <r>
      <t>kmnfd] u]6 !^ u]h -%)</t>
    </r>
    <r>
      <rPr>
        <sz val="12"/>
        <rFont val="Arial"/>
        <family val="2"/>
      </rPr>
      <t>X</t>
    </r>
    <r>
      <rPr>
        <sz val="16"/>
        <rFont val="Preeti"/>
      </rPr>
      <t>%)</t>
    </r>
    <r>
      <rPr>
        <sz val="12"/>
        <rFont val="Arial"/>
        <family val="2"/>
      </rPr>
      <t>X</t>
    </r>
    <r>
      <rPr>
        <sz val="16"/>
        <rFont val="Preeti"/>
      </rPr>
      <t>% dL=dL=sf] k|m]d ;lxt_ agfO{ hf]8\g] /]8 cS;fO8 k]lG6Ë / Hofnf ;d]t .</t>
    </r>
  </si>
  <si>
    <r>
      <t xml:space="preserve">&amp;% dL=dL= </t>
    </r>
    <r>
      <rPr>
        <sz val="10"/>
        <rFont val="Arial"/>
        <family val="2"/>
      </rPr>
      <t>X</t>
    </r>
    <r>
      <rPr>
        <sz val="16"/>
        <rFont val="Preeti"/>
      </rPr>
      <t xml:space="preserve"> !)) dL=dL= </t>
    </r>
    <r>
      <rPr>
        <sz val="10"/>
        <rFont val="Arial"/>
        <family val="2"/>
      </rPr>
      <t>X</t>
    </r>
    <r>
      <rPr>
        <sz val="16"/>
        <rFont val="Preeti"/>
      </rPr>
      <t xml:space="preserve"> @=! dL= nfdf] ;fnsf7sf] vDaf k|of]u ug]{ .</t>
    </r>
  </si>
  <si>
    <t xml:space="preserve"> jgfO{ hf]8\g]</t>
  </si>
  <si>
    <r>
      <t xml:space="preserve"> </t>
    </r>
    <r>
      <rPr>
        <sz val="16"/>
        <rFont val="Preeti"/>
      </rPr>
      <t xml:space="preserve">sfnf] kmnfd] kfO{ksf] 6«; agfO{ h8fg ug]{ sfd -k|fOd/ k]G6 ;lxt_  </t>
    </r>
  </si>
  <si>
    <r>
      <t>k]r lsnf</t>
    </r>
    <r>
      <rPr>
        <sz val="12"/>
        <rFont val="Arial"/>
        <family val="2"/>
      </rPr>
      <t>( Steel Screw nail 35mm)</t>
    </r>
  </si>
  <si>
    <r>
      <t>Kn]g kftf 16 u]h -4</t>
    </r>
    <r>
      <rPr>
        <sz val="12"/>
        <rFont val="Arial"/>
        <family val="2"/>
      </rPr>
      <t>'</t>
    </r>
    <r>
      <rPr>
        <sz val="12"/>
        <rFont val="FONTASY_HIMALI_TT"/>
        <family val="5"/>
      </rPr>
      <t xml:space="preserve"> </t>
    </r>
    <r>
      <rPr>
        <sz val="12"/>
        <rFont val="Arial"/>
        <family val="2"/>
      </rPr>
      <t>x</t>
    </r>
    <r>
      <rPr>
        <sz val="12"/>
        <rFont val="FONTASY_HIMALI_TT"/>
        <family val="5"/>
      </rPr>
      <t xml:space="preserve"> 8</t>
    </r>
    <r>
      <rPr>
        <sz val="12"/>
        <rFont val="Arial"/>
        <family val="2"/>
      </rPr>
      <t>'</t>
    </r>
    <r>
      <rPr>
        <sz val="12"/>
        <rFont val="FONTASY_HIMALI_TT"/>
        <family val="5"/>
      </rPr>
      <t>_</t>
    </r>
  </si>
  <si>
    <r>
      <t>^f/km]N^ 1</t>
    </r>
    <r>
      <rPr>
        <sz val="12"/>
        <rFont val="Arial"/>
        <family val="2"/>
      </rPr>
      <t>x</t>
    </r>
    <r>
      <rPr>
        <sz val="12"/>
        <rFont val="FONTASY_HIMALI_TT"/>
        <family val="5"/>
      </rPr>
      <t>20 dL= -cfO{=P;=cfO{= dfs{_</t>
    </r>
  </si>
  <si>
    <r>
      <t>kmnfd] lu|n 3</t>
    </r>
    <r>
      <rPr>
        <sz val="11"/>
        <rFont val="Arial"/>
        <family val="2"/>
      </rPr>
      <t>x</t>
    </r>
    <r>
      <rPr>
        <sz val="11"/>
        <rFont val="FONTASY_HIMALI_TT"/>
        <family val="5"/>
      </rPr>
      <t xml:space="preserve">20 dL=dL= -k|lt jld 16=14 s]hL_ </t>
    </r>
  </si>
  <si>
    <r>
      <t>kmnfd] lu|n 4=5</t>
    </r>
    <r>
      <rPr>
        <sz val="10.5"/>
        <rFont val="Arial"/>
        <family val="2"/>
      </rPr>
      <t>x</t>
    </r>
    <r>
      <rPr>
        <sz val="10.5"/>
        <rFont val="FONTASY_HIMALI_TT"/>
        <family val="5"/>
      </rPr>
      <t xml:space="preserve">20 dL=dL=-k|lt jld 21=50 s]hL_   </t>
    </r>
  </si>
  <si>
    <r>
      <t xml:space="preserve">s"lbPsf] ;fn sf&amp;sf] (f]sf h*fg ;lxt       </t>
    </r>
    <r>
      <rPr>
        <sz val="11"/>
        <rFont val="Arial"/>
        <family val="2"/>
      </rPr>
      <t>( Different type of God,Goddes statue-Thickness of shutter=40mm to 50mm)</t>
    </r>
  </si>
  <si>
    <t>O{n]S6«f]d]l6«s jf6/ k|'lkmË{ h8fg ;lxt)</t>
  </si>
  <si>
    <t>gram</t>
  </si>
  <si>
    <r>
      <t>a)</t>
    </r>
    <r>
      <rPr>
        <sz val="7"/>
        <rFont val="Times New Roman"/>
        <family val="1"/>
      </rPr>
      <t xml:space="preserve">       </t>
    </r>
    <r>
      <rPr>
        <sz val="11"/>
        <rFont val="Times New Roman"/>
        <family val="1"/>
      </rPr>
      <t>60 mm  inter locking cement concrete block  M- 30 grade</t>
    </r>
    <r>
      <rPr>
        <sz val="11"/>
        <rFont val="Arial"/>
        <family val="2"/>
      </rPr>
      <t xml:space="preserve"> </t>
    </r>
    <r>
      <rPr>
        <sz val="14"/>
        <rFont val="Preeti"/>
      </rPr>
      <t>3/sf]</t>
    </r>
    <r>
      <rPr>
        <sz val="12"/>
        <rFont val="Preeti"/>
      </rPr>
      <t xml:space="preserve"> </t>
    </r>
    <r>
      <rPr>
        <sz val="12"/>
        <rFont val="Times New Roman"/>
        <family val="1"/>
      </rPr>
      <t>passage</t>
    </r>
    <r>
      <rPr>
        <sz val="12"/>
        <rFont val="Arial"/>
        <family val="2"/>
      </rPr>
      <t xml:space="preserve"> </t>
    </r>
    <r>
      <rPr>
        <sz val="14"/>
        <rFont val="Preeti"/>
      </rPr>
      <t>df 5fKgsf] nflu</t>
    </r>
    <r>
      <rPr>
        <sz val="12"/>
        <rFont val="Preeti"/>
      </rPr>
      <t xml:space="preserve"> </t>
    </r>
  </si>
  <si>
    <t>cum</t>
  </si>
  <si>
    <t xml:space="preserve"> Supply laying and fixing PVC Tile</t>
  </si>
  <si>
    <t>Readymix Concrete M20grade</t>
  </si>
  <si>
    <t>Vibrator with needle</t>
  </si>
  <si>
    <t>Acid pretected (Anti-Acid-reacted) Tile</t>
  </si>
  <si>
    <t>Supply and laying Carpet Dubo</t>
  </si>
  <si>
    <t>Plant(without fruite)</t>
  </si>
  <si>
    <r>
      <t>dfj{n uf]bfj/L 60</t>
    </r>
    <r>
      <rPr>
        <sz val="12"/>
        <rFont val="Arial"/>
        <family val="2"/>
      </rPr>
      <t>x</t>
    </r>
    <r>
      <rPr>
        <sz val="12"/>
        <rFont val="FONTASY_HIMALI_TT"/>
        <family val="5"/>
      </rPr>
      <t>60 ;]dL</t>
    </r>
  </si>
  <si>
    <t>3mm Carbon Fibre UPVC Roofing Sheet including the cost of material and labour  fitting, fixing, all complete job</t>
  </si>
  <si>
    <t xml:space="preserve">3mm Carbon Fibre UPVC Roofing Sheet </t>
  </si>
  <si>
    <t>n=;</t>
  </si>
  <si>
    <t>n=;=</t>
  </si>
  <si>
    <t>u|fe]n</t>
  </si>
  <si>
    <r>
      <t xml:space="preserve">vfgL÷vf]nf÷u|fe]n </t>
    </r>
    <r>
      <rPr>
        <sz val="12"/>
        <rFont val="Arial"/>
        <family val="2"/>
      </rPr>
      <t>(free from all kind of impurities as per mentioned in specification</t>
    </r>
    <r>
      <rPr>
        <sz val="12"/>
        <rFont val="FONTASY_HIMALI_TT"/>
        <family val="5"/>
      </rPr>
      <t xml:space="preserve">) </t>
    </r>
  </si>
  <si>
    <t>%) dL=dL=Aof;sf] :6]Gn];l:6nsf] x\of08/]ndf @ ld6/sf] b"/Ldf %) dL=dL=Aof;sf] :6]Gn];l:6ns} 7f8f] kf]i6 /fvL x\of08/]n / e"O+sf] aLrdf tLg tx t];f]{ @% dL=dL=Aof;sf] :6]Gn];l:6nsf] d]Da/ /fvL @Ú–^Æ b]lv #Ú–)Æ ;Dd prfO{ ePsf] /]lnË pknAw u/fO{ h8fg u/L /+u ;d]t nufpg] sfd .</t>
  </si>
  <si>
    <t>%) dL=dL=Aof;sf] :6]Gn];l:6nsf] kfO{ksf] Xof08/]n h8fg ug]{ sfo{</t>
  </si>
  <si>
    <t>rm</t>
  </si>
  <si>
    <t>#* dL=dL=Aof;sf] :6]Gn];l:6nsf] x\of08/]ndf @ ld6/sf] b"/Ldf #* dL=dL=Aof;sf] :6]Gn];l:6ns} 7f8f] kf]i6 /fvL x\of08/]n / e"O+sf] aLrdf b'O{ tx t];f]{ @% dL=dL=Aof;sf] :6]Gn];l:6nsf] d]Da/ /fvL /]lnË agfO{ h8fg u/L /+u ;d]t nufpg] sfd .</t>
  </si>
  <si>
    <t>@% dL=dL= :6Ln kfO{k</t>
  </si>
  <si>
    <t>b/ ljZn]if0fsf] nflu ( j=dL= lnOPsf]</t>
  </si>
  <si>
    <t>b/ ljZn]if0fsf] nflu ! dL= lnOPsf]</t>
  </si>
  <si>
    <r>
      <t xml:space="preserve">e¥ofËsf] /]lnË tyf afb{nL cflbdf s'FlbPsf] ;L;f} sf7sf] x]08 /]n </t>
    </r>
    <r>
      <rPr>
        <sz val="11"/>
        <rFont val="Fantci"/>
      </rPr>
      <t>(3"x4")</t>
    </r>
  </si>
  <si>
    <r>
      <t>lzzf} sf7sf] #Æ</t>
    </r>
    <r>
      <rPr>
        <sz val="11"/>
        <rFont val="Arial"/>
        <family val="2"/>
      </rPr>
      <t xml:space="preserve">X </t>
    </r>
    <r>
      <rPr>
        <sz val="16"/>
        <rFont val="Preeti"/>
      </rPr>
      <t>$Æ;fO{hsf] Xof08/]n agfO{ lkml6Ë ug]{ sfd .</t>
    </r>
  </si>
  <si>
    <t>b/ k|lt dL=sf]</t>
  </si>
  <si>
    <t xml:space="preserve"> lzzf} sf7</t>
  </si>
  <si>
    <t>;L;f} sf7</t>
  </si>
  <si>
    <t>hËnL ;L;f} sf7</t>
  </si>
  <si>
    <r>
      <t>!%</t>
    </r>
    <r>
      <rPr>
        <sz val="12"/>
        <rFont val="Arial"/>
        <family val="2"/>
      </rPr>
      <t>X</t>
    </r>
    <r>
      <rPr>
        <sz val="16"/>
        <rFont val="Preeti"/>
      </rPr>
      <t>!% ;]=dL= ;fOhsf] ;fn sf7sf] kf]i6 tyf #Æ</t>
    </r>
    <r>
      <rPr>
        <sz val="12"/>
        <rFont val="Arial"/>
        <family val="2"/>
      </rPr>
      <t>X</t>
    </r>
    <r>
      <rPr>
        <sz val="16"/>
        <rFont val="Preeti"/>
      </rPr>
      <t>#Æ ;fO{hsf] an':6/ /fvL #Æ</t>
    </r>
    <r>
      <rPr>
        <sz val="12"/>
        <rFont val="Arial"/>
        <family val="2"/>
      </rPr>
      <t>X</t>
    </r>
    <r>
      <rPr>
        <sz val="16"/>
        <rFont val="Preeti"/>
      </rPr>
      <t xml:space="preserve">$Æ ;fO{hsf] ;fnsf] Xof08/]n agfO{ h8fg ug]{ sfd . </t>
    </r>
  </si>
  <si>
    <t>$) ldld :qm'</t>
  </si>
  <si>
    <t>l;;f} sf7</t>
  </si>
  <si>
    <t>dfn;fdfg pknAw u/L @) ld=ld= df]6fO{sf] l;;f} sf7sf] l;lnË nufpg] sfd .</t>
  </si>
  <si>
    <r>
      <t xml:space="preserve"> $) </t>
    </r>
    <r>
      <rPr>
        <sz val="12"/>
        <rFont val="Arial"/>
        <family val="2"/>
      </rPr>
      <t>X</t>
    </r>
    <r>
      <rPr>
        <sz val="16"/>
        <rFont val="Preeti"/>
      </rPr>
      <t xml:space="preserve"> @) dL=dL= ljl8Ë HjfO{G6df nufpg] ;d]t .</t>
    </r>
  </si>
  <si>
    <t>%) ldld :qm'</t>
  </si>
  <si>
    <t>^) ldld :qm'</t>
  </si>
  <si>
    <t>%) ldld lsnf</t>
  </si>
  <si>
    <t>dfn;fdfg pknAw u/L !( ld=ld= df]6fO{sf] KnfO{ jf]8{sf] l;lnË nufpg] sfd .</t>
  </si>
  <si>
    <t>!( dL=dL=KnfO{ jf]8{</t>
  </si>
  <si>
    <t>Steel  Screw 50mm</t>
  </si>
  <si>
    <t>Steel  Screw 75mm</t>
  </si>
  <si>
    <t>b/ ljZn]if0fsf] nflu #%=%* j=ld= lnOPsf]</t>
  </si>
  <si>
    <t>ln:6L</t>
  </si>
  <si>
    <r>
      <t>#*</t>
    </r>
    <r>
      <rPr>
        <sz val="12"/>
        <rFont val="Arial"/>
        <family val="2"/>
      </rPr>
      <t>X</t>
    </r>
    <r>
      <rPr>
        <sz val="16"/>
        <rFont val="Preeti"/>
      </rPr>
      <t>&amp;% dL=dL= ;fO{hsf] cu|fv sf7sf] )=^!</t>
    </r>
    <r>
      <rPr>
        <sz val="12"/>
        <rFont val="Arial"/>
        <family val="2"/>
      </rPr>
      <t>X</t>
    </r>
    <r>
      <rPr>
        <sz val="16"/>
        <rFont val="Preeti"/>
      </rPr>
      <t>)=(!% dL=sf] sf]7f -k|m]d_ agfO{</t>
    </r>
  </si>
  <si>
    <t>b'j} tkm{ # dL= dL= sdl;{on KnfO{p8 nufO{ hf]gL{df sf7sf] ln:6L 7f]sL sf7jf/ nufpg sfd .</t>
  </si>
  <si>
    <t xml:space="preserve"> !( dL= dL= cu|fv sf7sf] kmNofs b'j} tkm{ Nofk HjfOG6df 7f]sL sf7jf/ nufpg sfd .</t>
  </si>
  <si>
    <r>
      <t>%)</t>
    </r>
    <r>
      <rPr>
        <sz val="12"/>
        <rFont val="Arial"/>
        <family val="2"/>
      </rPr>
      <t>X</t>
    </r>
    <r>
      <rPr>
        <sz val="16"/>
        <rFont val="Preeti"/>
      </rPr>
      <t>&amp;% dL=dL= ;fO{hsf] cu|fv sf7sf] )=^)</t>
    </r>
    <r>
      <rPr>
        <sz val="12"/>
        <rFont val="Arial"/>
        <family val="2"/>
      </rPr>
      <t>X</t>
    </r>
    <r>
      <rPr>
        <sz val="16"/>
        <rFont val="Preeti"/>
      </rPr>
      <t>)=() dL=sf] sf]7f -k|m]d_ agfO{</t>
    </r>
  </si>
  <si>
    <t xml:space="preserve"> ^ dL= dL= jf6/k|'km KnfOp8sf] kmN; l;lnË 7f]Sg]] sfd . </t>
  </si>
  <si>
    <t>^ dL=dL= jf6/k|'k KnfO{p8</t>
  </si>
  <si>
    <t>kfs]^</t>
  </si>
  <si>
    <t xml:space="preserve">dfn;fdfg pknAw u/L lh=cfO{=k|m]ddf lhD;d jf]8{sf] </t>
  </si>
  <si>
    <t>b/ ljZn]if0fsf] nflu !) Jf= dL= lnOPsf]</t>
  </si>
  <si>
    <t>lhk af]8{ l8hfOg kmN;\l;lnËsf]</t>
  </si>
  <si>
    <t>sfd k'/f</t>
  </si>
  <si>
    <t>l8hfOg kmN; l;lnË nufpg] sfd -cf/=l;=l;= 5td'lg_</t>
  </si>
  <si>
    <t>;fwf/0f kmN; l;lnË nufpg] sfd -cf/=l;=l;= 5td'lg_</t>
  </si>
  <si>
    <t>lhk af]8{ ;fwf/0f kmN;\l;lnËsf]</t>
  </si>
  <si>
    <t xml:space="preserve">dfn;fdfg pknAw u/L lh=cfO{=k|m]ddf d]6fnfOH8 kf]lnP6/ nfldg]6]8 jf]8{sf] </t>
  </si>
  <si>
    <t>l;lnË nufpg] sfd -ss{t kftfsf] 5fgfd'lg_</t>
  </si>
  <si>
    <t>b/ ljZn]if0fsf] nflu !Jf= dL= lnOPsf]</t>
  </si>
  <si>
    <t xml:space="preserve">l8hfOg Pd=lk=Pn= l;lnËsf] </t>
  </si>
  <si>
    <t xml:space="preserve">;fwf/0f Pd=lk=Pn= l;lnËsf] </t>
  </si>
  <si>
    <t xml:space="preserve">dfn;fdfg pknAw u/L lh=cfO{=k|m]ddf ;fwf/0f d]6fnfOH8 kf]lnP6/ nfldg]6]8 jf]8{sf] </t>
  </si>
  <si>
    <t xml:space="preserve">dfn;fdfg pknAw u/L ^ dL=dL= afSnf] km\nf]S; cf]– jf]8{ </t>
  </si>
  <si>
    <t xml:space="preserve">-jf6/k|'km l;d]G6 af]8{_ sf] kmN; l;lnË nufpg] sfd </t>
  </si>
  <si>
    <t>km\n]S; cf]–jf]8{ l;lnËsf]</t>
  </si>
  <si>
    <t>UPVC 110X64X9mm thick board and 5mm thick Partition With Half Board 9mm And Other Half 5mm Glass</t>
  </si>
  <si>
    <t>UPVC 60*60mm white colour Swing Door With 5mm Glass Panel</t>
  </si>
  <si>
    <t>UPVC sliding window with net (frame 50 X 80mm sash 58 X 36mm white colour with 5mm Glass)</t>
  </si>
  <si>
    <t>UPVC sliding window without net (frame 60 X 60mm sash 66 X 42mm white colour with 5mm Glass)</t>
  </si>
  <si>
    <t>UPVC Single Door (frame 60X60mm, sash 60X 104mm) White Colour With Top Glass 5mm And Bottom UPVC Panel</t>
  </si>
  <si>
    <t>UPVC Singl Door with full pannel (frame 60*60mm sash 60X100mm White Colour With  Panel)</t>
  </si>
  <si>
    <t>UPVC sliding Door with net (frame 52 X 88mm sash 8 X 42mm white colour with 5mm Glass)</t>
  </si>
  <si>
    <t>UPVC sliding Door without net (frame 60 X 60mm sash 88 X 40mm white colour with 5mm Glass)</t>
  </si>
  <si>
    <t>UPVC Double Door  (frame 60 X 60mm sash 60 X 140mm white colour with 5mm Glass)</t>
  </si>
  <si>
    <t>km\n]u:^f]g (+'uf-75dL=dL=</t>
  </si>
  <si>
    <t>NRs 98</t>
  </si>
  <si>
    <t>NRs 375</t>
  </si>
  <si>
    <t>0.4x375</t>
  </si>
  <si>
    <t>3.2xTx98</t>
  </si>
  <si>
    <t>UPVC Single Door</t>
  </si>
  <si>
    <t xml:space="preserve">UPVC Singl Door with full pannel </t>
  </si>
  <si>
    <t xml:space="preserve">UPVC 110X64X9mm thick board </t>
  </si>
  <si>
    <t xml:space="preserve"> Swing Door With 5mm Glass Panel</t>
  </si>
  <si>
    <t>UPVC sliding window with net</t>
  </si>
  <si>
    <t>UPVC sliding window without net</t>
  </si>
  <si>
    <t>UPVC sliding Door with net</t>
  </si>
  <si>
    <t>UPVC sliding Door without net</t>
  </si>
  <si>
    <t>UPVC Double Door</t>
  </si>
  <si>
    <r>
      <t>;g dfO{sf -4</t>
    </r>
    <r>
      <rPr>
        <sz val="12"/>
        <rFont val="Arial"/>
        <family val="2"/>
      </rPr>
      <t>'</t>
    </r>
    <r>
      <rPr>
        <sz val="11"/>
        <rFont val="Arial"/>
        <family val="2"/>
      </rPr>
      <t>X</t>
    </r>
    <r>
      <rPr>
        <sz val="12"/>
        <rFont val="FONTASY_HIMALI_TT"/>
        <family val="5"/>
      </rPr>
      <t>8</t>
    </r>
    <r>
      <rPr>
        <sz val="12"/>
        <rFont val="Arial"/>
        <family val="2"/>
      </rPr>
      <t>'</t>
    </r>
    <r>
      <rPr>
        <sz val="12"/>
        <rFont val="FONTASY_HIMALI_TT"/>
        <family val="5"/>
      </rPr>
      <t xml:space="preserve">_ </t>
    </r>
  </si>
  <si>
    <r>
      <t>l^s KnfOp* 4 dL=dL= -</t>
    </r>
    <r>
      <rPr>
        <sz val="12"/>
        <rFont val="Arial"/>
        <family val="2"/>
      </rPr>
      <t>Natural texure</t>
    </r>
    <r>
      <rPr>
        <sz val="12"/>
        <rFont val="FONTASY_HIMALI_TT"/>
        <family val="5"/>
      </rPr>
      <t>_</t>
    </r>
  </si>
  <si>
    <r>
      <t>l^s KnfOp* 4 dL=dL= -</t>
    </r>
    <r>
      <rPr>
        <sz val="12"/>
        <rFont val="Arial"/>
        <family val="2"/>
      </rPr>
      <t>Simple texure</t>
    </r>
    <r>
      <rPr>
        <sz val="12"/>
        <rFont val="FONTASY_HIMALI_TT"/>
        <family val="5"/>
      </rPr>
      <t>_</t>
    </r>
  </si>
  <si>
    <r>
      <t xml:space="preserve">kfl^{sn jf]*{ -nfldg]^]*_ </t>
    </r>
    <r>
      <rPr>
        <sz val="12"/>
        <rFont val="Arial"/>
        <family val="2"/>
      </rPr>
      <t>(12mm thick)</t>
    </r>
  </si>
  <si>
    <t>sf&amp;sf] lni^L 3.4 OGr ;fwf/)f</t>
  </si>
  <si>
    <t>sf&amp;sf] lni^L 3.4 OGr *]sf]/]l^e</t>
  </si>
  <si>
    <r>
      <t>af]*/ ^fon 2</t>
    </r>
    <r>
      <rPr>
        <sz val="12"/>
        <rFont val="Arial"/>
        <family val="2"/>
      </rPr>
      <t>"x</t>
    </r>
    <r>
      <rPr>
        <sz val="12"/>
        <rFont val="FONTASY_HIMALI_TT"/>
        <family val="5"/>
      </rPr>
      <t>8Æ</t>
    </r>
  </si>
  <si>
    <r>
      <t xml:space="preserve">vfS;L </t>
    </r>
    <r>
      <rPr>
        <sz val="10"/>
        <rFont val="Arial"/>
        <family val="2"/>
      </rPr>
      <t>(Sand Paper)</t>
    </r>
  </si>
  <si>
    <t>Dori (nylone)</t>
  </si>
  <si>
    <t>gd"gf ;+sng y}nL Nofa ;fdfu|L</t>
  </si>
  <si>
    <r>
      <t xml:space="preserve"> </t>
    </r>
    <r>
      <rPr>
        <sz val="10"/>
        <rFont val="Arial"/>
        <family val="2"/>
      </rPr>
      <t>(Sieve Analyusis, Hydrometer Analysis, Atterberg's Limit, Specific Gravity, Natural Moisture Content, Direct Shear Test, Unconfined Compression Test, Conlolidation Test, Conducting SPT at 1.5m interval using auto trip hammer syster including collection of samples, sealing etc, Retrieving undisturbed samples for consolidation and shear strength tests for per BH.</t>
    </r>
  </si>
  <si>
    <r>
      <t xml:space="preserve">Sub-Engineer/ </t>
    </r>
    <r>
      <rPr>
        <sz val="16"/>
        <rFont val="Preeti"/>
      </rPr>
      <t>;xfos</t>
    </r>
  </si>
  <si>
    <t>hgf</t>
  </si>
  <si>
    <r>
      <t xml:space="preserve">Engineer/ </t>
    </r>
    <r>
      <rPr>
        <sz val="16"/>
        <rFont val="Preeti"/>
      </rPr>
      <t>lj1 -</t>
    </r>
    <r>
      <rPr>
        <sz val="10"/>
        <rFont val="Arial"/>
        <family val="2"/>
      </rPr>
      <t>Gazette second class officer technical)</t>
    </r>
  </si>
  <si>
    <t>;lxt cu/ -n=;=@))).– k/ 3=_</t>
  </si>
  <si>
    <t>j6f</t>
  </si>
  <si>
    <r>
      <rPr>
        <sz val="10"/>
        <rFont val="Arial"/>
        <family val="2"/>
      </rPr>
      <t xml:space="preserve">M20 grade </t>
    </r>
    <r>
      <rPr>
        <sz val="13"/>
        <rFont val="Preeti"/>
      </rPr>
      <t>/]l8ldS; s+lqm6</t>
    </r>
  </si>
  <si>
    <r>
      <t xml:space="preserve">kmnfd] kfO{k  </t>
    </r>
    <r>
      <rPr>
        <sz val="9"/>
        <rFont val="Arial"/>
        <family val="2"/>
      </rPr>
      <t>(NMB 50-M)</t>
    </r>
  </si>
  <si>
    <t>5fgfdf # ld=ld= afSnf] o'=lk=le=l;= kftf nufpg] sfd lSnk tyf k]r cflb ;d]t k'/f sfo{ ug]{ .</t>
  </si>
  <si>
    <t>kf]/l;lng Un]H8 6fO{n</t>
  </si>
  <si>
    <r>
      <t>9'+ufsf] 3"nf] -Pl/of</t>
    </r>
    <r>
      <rPr>
        <sz val="10"/>
        <rFont val="Arial"/>
        <family val="2"/>
      </rPr>
      <t>X</t>
    </r>
    <r>
      <rPr>
        <sz val="13"/>
        <rFont val="Preeti"/>
      </rPr>
      <t>% ;]=dL=_</t>
    </r>
  </si>
  <si>
    <r>
      <t>v_ HofdL @</t>
    </r>
    <r>
      <rPr>
        <sz val="13"/>
        <rFont val="FONTASY_HIMALI_TT"/>
        <family val="5"/>
      </rPr>
      <t>-</t>
    </r>
    <r>
      <rPr>
        <sz val="13"/>
        <rFont val="Preeti"/>
      </rPr>
      <t>$@-</t>
    </r>
  </si>
  <si>
    <r>
      <t xml:space="preserve">9'+ufsf] 3"nf] -Pl/of </t>
    </r>
    <r>
      <rPr>
        <sz val="10"/>
        <rFont val="Arial"/>
        <family val="2"/>
      </rPr>
      <t xml:space="preserve">X </t>
    </r>
    <r>
      <rPr>
        <sz val="13"/>
        <rFont val="Preeti"/>
      </rPr>
      <t>^ ;]=dL=_</t>
    </r>
  </si>
  <si>
    <t>H38</t>
  </si>
  <si>
    <t>H39</t>
  </si>
  <si>
    <t>gg\Un]H8 6fOn</t>
  </si>
  <si>
    <t>c:t/ jfx]s Ps sf]6 j]b/sf]6 -Pk]S; jf ;f] ;/x_ k]G6 ug]{ sfd .</t>
  </si>
  <si>
    <t>j]b/ sf]6 -Pk]S; jf ;f] ;/x_ k]G6</t>
  </si>
  <si>
    <t>c:t/ jfx]s b'O{ sf]6 j]b/sf]6 -Pk]S; jf ;f] ;/x_ k]G6 ug]{ sfd .</t>
  </si>
  <si>
    <t>:6]Gn];l:6nsf] kfO{kdf UofF; j]lN8ª  / k]l6Ë ug]{ .</t>
  </si>
  <si>
    <t>#* dL=dL= :6Ln kfOk</t>
  </si>
  <si>
    <t>Report, writing &amp; submission</t>
  </si>
  <si>
    <t>;xfos ;fdu|L</t>
  </si>
  <si>
    <t>E5</t>
  </si>
  <si>
    <t>E6</t>
  </si>
  <si>
    <t>F1</t>
  </si>
  <si>
    <t>F8</t>
  </si>
  <si>
    <t xml:space="preserve">hu leQf kvf{ndf l;d]G6 s+lqm6 ug]{ sfd dfn;fdfg pknAw ug]{ #) dL6/;Dd 9'jfgL ;lxt </t>
  </si>
  <si>
    <r>
      <t xml:space="preserve">;'k/ :6«Sr/df l8hfOg adf]lhdsf] </t>
    </r>
    <r>
      <rPr>
        <sz val="11"/>
        <rFont val="Arial"/>
        <family val="2"/>
      </rPr>
      <t>M20 grade</t>
    </r>
    <r>
      <rPr>
        <sz val="16"/>
        <rFont val="Preeti"/>
      </rPr>
      <t xml:space="preserve"> sf] /]l8ldS; s+lqm6 k|of]u u/L 9nfg ug]{ sfd </t>
    </r>
  </si>
  <si>
    <t xml:space="preserve">dfn;fdfg pknAw ug]{ / ;fO{6;Dd 9'jfgL ;d]t  </t>
  </si>
  <si>
    <t>G 12</t>
  </si>
  <si>
    <t>G 11</t>
  </si>
  <si>
    <t>G 13</t>
  </si>
  <si>
    <t>G 14</t>
  </si>
  <si>
    <t>G 15</t>
  </si>
  <si>
    <t>G 16</t>
  </si>
  <si>
    <t>H 1</t>
  </si>
  <si>
    <t>H 2</t>
  </si>
  <si>
    <t>H 3</t>
  </si>
  <si>
    <t>H 4</t>
  </si>
  <si>
    <t>H 5</t>
  </si>
  <si>
    <t>H 6</t>
  </si>
  <si>
    <t>H 7</t>
  </si>
  <si>
    <t>H 8</t>
  </si>
  <si>
    <t>H 9</t>
  </si>
  <si>
    <t>H 11</t>
  </si>
  <si>
    <t>H 12</t>
  </si>
  <si>
    <t>H 13</t>
  </si>
  <si>
    <t>Fuel(Disel)</t>
  </si>
  <si>
    <t>Formula</t>
  </si>
  <si>
    <t>Fuel rate (Disel)</t>
  </si>
  <si>
    <t>b/ k|lt af]/xf]nsf]</t>
  </si>
  <si>
    <t>l/=g+=</t>
  </si>
  <si>
    <t>sf&amp;df*f}÷nlntk'/ lhNnfsf] cf=j=2069.070 sf] lgdf{)f ;fdfu|Lsf] b//]^</t>
  </si>
  <si>
    <t xml:space="preserve">^!–!@) ;]=dL= uf]nfO{ ?v 9fNg] sfo{ =================================================================================== </t>
  </si>
  <si>
    <t>!@–#) ?vsf] h/f lemSg] sfo{ ===================================================================================</t>
  </si>
  <si>
    <t xml:space="preserve">^!–!@) ;]=dL= uf]nfO{sf] ?v h/f lemSg] sfo{  ==========================================================================================  </t>
  </si>
  <si>
    <t>;km]{;nfO{ 8«]l;Ë ug]{ sfo{ vfN6f] k'g]{ sfd====================================================================================</t>
  </si>
  <si>
    <t>df6f] k/LIf0f ug],{ sfd af]/ xf]n vGg], gd"gf ;+sng sfd ===============================================================================</t>
  </si>
  <si>
    <t>af]/ xf]n</t>
  </si>
  <si>
    <t>g/d k|sf/sf] Sn] / l;N6L df6f]df ;j} lsl;dsf] vGg] sfd ===============================================================================</t>
  </si>
  <si>
    <t xml:space="preserve">;fx|f] k|sf/sf] Sn], g/d d'/d 9'+uf -#) ;]=dL=;Dd_ ld;]sf] df6f] ========================================================================================== </t>
  </si>
  <si>
    <t xml:space="preserve">lj:kmf]6g ljgf dWod k|sf/ 9'Ëfdf vGg] sfd  ===================================== </t>
  </si>
  <si>
    <t>;fdfGo df6f]n] k'g]{ sfd !%, !% ;]=dL= sf] txdf km}nfpg]================================================================</t>
  </si>
  <si>
    <t>jfn'jf eg]{, kfgL 5g]{ / HofdLåf/f sDk]s ug]{ sfd ===========================================</t>
  </si>
  <si>
    <t>O{6f uf/f]sf] sfd l;d]G6, jfn'jf -!M^_ d;nf tof/ u/L ¥of6 6«ofk ================</t>
  </si>
  <si>
    <t xml:space="preserve">s'+b]sf] 9'+ufsf] sfd l;d]G6 afn'jf -!M^_ df =============================================================================================   </t>
  </si>
  <si>
    <t xml:space="preserve">s+lqm6 xf]nf] Anssf] uf/f] l;d]G6, jfn'jf -!M$_ df nufpg] sfddf  =============================================================================================    </t>
  </si>
  <si>
    <t xml:space="preserve">hu leQf kvf{ndf l;d]G6 s+lqm6 ug]{ sfd -lk=;L=;L= !M@M$_  =============================================================================================    </t>
  </si>
  <si>
    <t xml:space="preserve">;'k/ :6«Sr/, 8]s :n]a ljdx?df l;d]G6 s+lqm6 ug]{ sfd -!M!M@_  =============================================================================================   </t>
  </si>
  <si>
    <t xml:space="preserve">d]lzgsf] k|of]u u/L hu leQf kvf{ndf l;d]G6 s+lqm6 ug]{ sfd -!M#M^_  =============================================================================================   </t>
  </si>
  <si>
    <t xml:space="preserve">d]lzgsf] k|of]u u/L hu leQf kvf{ndf l;d]G6 s+lqm6 ug]{ sfd -!M@M$_  =============================================================================================   </t>
  </si>
  <si>
    <t xml:space="preserve">d]lzgsf] k|of]u u/L ;'k/ :6«Sr/df l;d]G6 s+lqm6 ug]{ sfd -!M!M%M#_  =============================================================================================   </t>
  </si>
  <si>
    <t xml:space="preserve">d]lzgsf] k|of]u u/L ;'k/ :6«Sr/df l;d]G6 s+lqm6 ug]{ sfd -!M!M@_  =============================================================================================   </t>
  </si>
  <si>
    <t xml:space="preserve">)=$% dL=dL= afSnf] ;L=hL=cfO{= 5fgf 5fpg] sfd  ===============================================  </t>
  </si>
  <si>
    <t xml:space="preserve">)=$! dL=dL= afSnf] ;L=hL=cfO{= zL6n] 5fgf 5fpg] sfd  =================================  </t>
  </si>
  <si>
    <t>)=$% dL=dL= /+lug =hL=cfO{= zL6sf] w'/L agfO{ h8fg ug]{ sfd -j=dL=_===================</t>
  </si>
  <si>
    <t>)=$% dL=dL= /+lug =hL=cfO{= zL6sf] w'/L agfO{ h8fg ug]{ sfd -/=dL=_ ===================</t>
  </si>
  <si>
    <t xml:space="preserve">)=%) dL=dL=  /+uLg hL=cfO{= zL6sf] w'/L agfO{ h8fg ug]{ sfd -/=dL=_ =============================================================================================    </t>
  </si>
  <si>
    <t xml:space="preserve">cu|fv sf7sf] jLd blng cflb agfO{ hf]8\g] sfd  =============================================================================================    </t>
  </si>
  <si>
    <t xml:space="preserve">@% dL=dL= cu|fv sf7sf] O{E; -d'7n_ agfO{ hf]8\g] sfd  =============================================================================================   </t>
  </si>
  <si>
    <t xml:space="preserve">5fgfdf # ld=ld= afSnf] o'=lk=le=l;= kftf nufpg] sfd  =============================================================================================   </t>
  </si>
  <si>
    <t xml:space="preserve">cu|fv sf7sf] rf}s; agfO hf]8\g] sfd =============================================================================================   </t>
  </si>
  <si>
    <t xml:space="preserve">$ dL=dL= df]6fO{sf] P]gf sf7sf] lni6L nufO{ hf]8\g] sfd  =============================================================================================   </t>
  </si>
  <si>
    <t xml:space="preserve">% dL=dL= df]6fO{sf] P]gf sf7sf] lni6L nufO{ hf]8\g] sfd  =============================================================================================   </t>
  </si>
  <si>
    <t xml:space="preserve">$ dL=dL= sdl;{on KnfO{p8 sf7sf] lni6L nufO{ hf]8\g]  sfd  =============================================================================================   </t>
  </si>
  <si>
    <t xml:space="preserve">xf8{af]8{ tyf cGo kf6L{zgdf $ dL=dL= 6Ls KnfOp8 n]ldg]zg sfd  =============================================================================================   </t>
  </si>
  <si>
    <t>ljleGg lsl;dsf] kmN; l;lnË 7f]Sg] ^ dL=dL= sdl;{on KnfO{p8 sfd =======================================================================</t>
  </si>
  <si>
    <t>%) dL=dL= af]Snf] 5fKg] 9'Ëf km\n}:6f]g !M$ ;d]G6 afn'jfdf ================================================</t>
  </si>
  <si>
    <t>%) dL=dL= ;Ddsf] 5fkf] 9'Ëf afn'jfdf 5fKg] sfd ================================================</t>
  </si>
  <si>
    <t>@% dL=dL= afSnf] t]lnof O{6f !M@ ;'sL{ d;nfdf 5fKg] sfd ====================================</t>
  </si>
  <si>
    <t>kfs]6 lj5\ofpg] / vfS;L nufO{ kfln; ug]{ sfd =============================================================================</t>
  </si>
  <si>
    <t>;'Vvf O{6f RofK6f] 5fKg] sfd ===========================================================================</t>
  </si>
  <si>
    <t>;'Vvf O{6f 7f8f] 5fKg] sfd ===========================================================================</t>
  </si>
  <si>
    <t>;'Vvf 9+'uf 5fKg] sfd ===========================================================================</t>
  </si>
  <si>
    <t>!@% dL=dL= afSnf] 7f8f] O{6f ;f]lnË u/L hf]gL{df afn'jf eg]{ sfd =======================================================================</t>
  </si>
  <si>
    <t>%) dL=dL= df]6f] x]eL 8o"6L OG6/nls+u s+lqm6Ans la5ofpg]] sfd================</t>
  </si>
  <si>
    <t>^) dL=dL= df]6f] x]eL 8o"6L OG6/nls+u s+lqm6Ans la5ofpg]] sfd================</t>
  </si>
  <si>
    <t>leQf Pj+ l;lnËdf Kn]g Knf:6/ ckm k]l/; ug]{ sfo{==================================</t>
  </si>
  <si>
    <t>d]l;gd]8 Sn] 6fon !M$ l;d]G6 afn'jfdf jfn ;km]{;df 6f+:g] sfo{==================</t>
  </si>
  <si>
    <t>!^ dL=dL=u|]gfO{6, l;d]G6 d;nfdf 5fkL 3f]6\g] / kflnz ;d]t ug]{=================</t>
  </si>
  <si>
    <t>/a/ j]:8 P8]l;edf lk=le=l;=6fOn nufpg] /f]lnË ug]{ ;d]t sfo{ ===============</t>
  </si>
  <si>
    <t>@% dL=dL= afSnf] df6f]sf] Knfi6/ ug]{ sfd ============================================</t>
  </si>
  <si>
    <t>O{6fsf] uf/f]df l;d]G6 afn'jf -!M!_ df ˆn; l6Ksf/ ug]{ sfd======================</t>
  </si>
  <si>
    <t>O{6fsf] uf/f]df l;d]G6 afn'jf -!M@_ df ˆn; l6Ksf/ ug]{ sfd</t>
  </si>
  <si>
    <t>af]N8/ 9'+ufsf] uf/f]df ˆn; ?N8 l6Ksf/ ug]{ sfd -!M!_======================================</t>
  </si>
  <si>
    <t>Knfi6/ dfly @) dL=dL= afSnf] emNn/ jf kfgL k§L agfpg] sfd==================</t>
  </si>
  <si>
    <t>Knf:6/ ;km]{;df XjfO6 l;d]G6 Ps sf]6 nufpg] sfd==============================================================</t>
  </si>
  <si>
    <t>Knf:6/ ;km]{;df XjfO6 l;d]G6 b'O{ sf]6 nufpg] sfd==============================================================</t>
  </si>
  <si>
    <t>k'/fgf] b/jf/sf] jflx/L efudf Pssf]6 r'gf kf]Tg] sfd================================</t>
  </si>
  <si>
    <t>k'/fgf] b/jf/sf] jflx/L efudf Pssf]6 /fdltnsn] kf]Tg] sfd ========================</t>
  </si>
  <si>
    <t>c:t/ jfx]s Pssf]6 tof/L Ogfd]n k]G6 ug]{ sfd =====================================================================</t>
  </si>
  <si>
    <t>c:t/ jfx]s b'O{sf]6 tof/L Ogfd]n k]G6 ug]{ sfd =====================================================================</t>
  </si>
  <si>
    <t>c:t/ jfx]s Ps sf]6 Knfli6s OdN;g k]G6 ug]{ sfd ============================================================</t>
  </si>
  <si>
    <t>c:t/ jfx]s Ps sf]6 cfNd'lgod k]G6 ug]{ sfd =======================================================</t>
  </si>
  <si>
    <t>c:t/ jfx]s b'O{ sf]6 cfNd'lgod k]G6 ug]{ sfd =======================================================</t>
  </si>
  <si>
    <t>c:t/ jfx]s Ps sf]6 /]8 cS;fO8 k]G6 ug]{ sfd =================================================</t>
  </si>
  <si>
    <t>Ps sf]6 k|fO{d/ ;lxt b'O{ sf]6 tof/L jf;]jn l8:6]Dk/ nufpg] sfd ==============</t>
  </si>
  <si>
    <t>tof/L x]l/6]h</t>
  </si>
  <si>
    <t>Interior and Exterior Heritage granular………………………………………………</t>
  </si>
  <si>
    <t>Interior and Exterior Heritage flakes………………………………………………</t>
  </si>
  <si>
    <t>Interior and Exterior Heritage granite finishing………………………………………………</t>
  </si>
  <si>
    <t>Interior and Exterior Heritage roller coat………………………………………………</t>
  </si>
  <si>
    <t>Interior and Exterior Heritage Top coat plastic lamination………………………………………………</t>
  </si>
  <si>
    <t>Dustban/Permise chemicals for Anti Termite Treatment ………………………</t>
  </si>
  <si>
    <t>!M@ efudf jf6/ k|'km sDkfp08 ld;fO{ 8]Dk k|'lkm+Ë ug]{ =====================================</t>
  </si>
  <si>
    <t>@=% ;]=dL= df]6fO{ l;d]G6 s+qmL6 -!M!½M#_ 8]Dk k|'kmLË ug]{ =====================================</t>
  </si>
  <si>
    <t>#=* ;]=dL= df]6fO{ l;d]G6 s+qmL6 -!M@M$_ 8]Dk k|'kmLË ug]{ =====================================</t>
  </si>
  <si>
    <t>Ps sf]6 lj6'ldg k]G6 8]Dk k|'km sf];{df nufO{ afn'jfn] 5f]Kg] ================================</t>
  </si>
  <si>
    <t>8]Dk k|'km u|]8 6f/km]N8 Ps tx nufpg] ===========================================================</t>
  </si>
  <si>
    <t xml:space="preserve">Expansion Joint Works: -  Chipping  and laying thermacol in the hole……………………., </t>
  </si>
  <si>
    <t>cf/=l;=l;= jf cf/=lj=l;= sfd eTsfO{ !) dL= k/ x6fpg] sfd=============================</t>
  </si>
  <si>
    <t>Kn]g l;d]G6 sqmL6 jf jh| s+qmL6 eTsfO{ !) dL= k/ x6fpg] sfd=============================</t>
  </si>
  <si>
    <t>k'/fgf] kfs]{6 lj5\ofPsf] 7fpFdf 3f]6L kfln; ug]{ sfo{ ========================================</t>
  </si>
  <si>
    <t>k'/fgf] df]hfos ˆnf]l/Ë u/]sf] 7fpFdf 3f]6L d}g kfln; ;d]t ug]{ sfo{ ===============</t>
  </si>
  <si>
    <t>df6f]sf] d;nfsf] uf/f]af6 O{6f lemls nfu]sf] d;nf ;kmf ug]{ ====================================</t>
  </si>
  <si>
    <t>r'gf ;'sL{sf] d;nfsf] uf/f]af6 O{6f lemls nfu]sf] d;nf ;kmf ug]{ ==================================</t>
  </si>
  <si>
    <t>l;d]G6 d;nfsf] uf/f]af6 O{6f lemls nfu]sf] d;nf ;kmf ug]{ ==================================</t>
  </si>
  <si>
    <t>s'+b]sf] 9'Ëf, dfj{n jf lk|sfi6 s+lqm6 -l;d]G6 d;nfdf_ eTsfpg] sfd==================</t>
  </si>
  <si>
    <t>uf]^f</t>
  </si>
  <si>
    <t>cf/=l;=l;=km]G;sf] sfd x6fpg] df6f] vGg] / vfN8f]df df6f] ;Dofpg] ===============</t>
  </si>
  <si>
    <t>kmnfd] /f]lnË ;6/ agfO{ h8fg ug]{ , k]G6LË / Hofnf ;d]t===========================</t>
  </si>
  <si>
    <t>sfnf] kmnfd] kfO{ksf] 6«; agfO{ h8fg ug]{ sfd ===========================================</t>
  </si>
  <si>
    <t>UPVC Single Door (frame 60X60mm, sash 60X 104mm) ……………………………</t>
  </si>
  <si>
    <t>UPVC Singl Door with full pannel (frame 60*60mm sash 60X100mm …………….</t>
  </si>
  <si>
    <t>UPVC 60*60mm white colour Swing Door With 5mm Glass Panel………………</t>
  </si>
  <si>
    <t>UPVC sliding window with net (frame 50 X 80mm sash 58 X 36mm ……………</t>
  </si>
  <si>
    <t>UPVC sliding window without net (frame 60 X 60mm sash 66 X 42mm ………..</t>
  </si>
  <si>
    <t>UPVC sliding Door with net (frame 52 X 88mm sash 8 X 42mm…………………..</t>
  </si>
  <si>
    <t>UPVC sliding Door without net (frame 60 X 60mm sash 88 X 40mm……………</t>
  </si>
  <si>
    <t>UPVC Double Door  (frame 60 X 60mm sash 60 X 140mm……………………….</t>
  </si>
  <si>
    <t>b/ /]^ cf=j=069.70</t>
  </si>
  <si>
    <t>1=</t>
  </si>
  <si>
    <t>2=</t>
  </si>
  <si>
    <t>3=</t>
  </si>
  <si>
    <t>4=</t>
  </si>
  <si>
    <t>5=</t>
  </si>
  <si>
    <t>6=</t>
  </si>
  <si>
    <t>7=</t>
  </si>
  <si>
    <t>8=</t>
  </si>
  <si>
    <t>hu jf vf8naf6 kfgL kDk ug]{ ====================================================================</t>
  </si>
  <si>
    <t>;fdfGo df6f]n] kfgL g5l/sg k'g]{ sfd ========================================================</t>
  </si>
  <si>
    <t>@)÷@) ;]=dL= txdf k'l/Psf] df6f]nfO{ /f]n/åf/f sDKofS6 ug]{ sfd===============</t>
  </si>
  <si>
    <t>d]lzgsf] k|of]u u/L ;'k/ :6«Sr/df dfOqmf] l;lnsf -!M!M@_ ===========================</t>
  </si>
  <si>
    <t>hudf cf/=l;=l;= sf] l;Ën c08//Ld kfOn 9nfg ug]{ sfd =======================</t>
  </si>
  <si>
    <t>cf/=;L=;L= nflu kmnfd] 808L sf6\g], df]8\g] #) dL6/ ;Dd =========================</t>
  </si>
  <si>
    <t>:n]6 5fgf 5fpg] sfd=================================================================================</t>
  </si>
  <si>
    <t>Sn] 6fO{n 5fgf 5fpg] sfd =======================================================================</t>
  </si>
  <si>
    <t>Sn] 6fO{nsf] w'/L nufpg] sfd ======================================================================</t>
  </si>
  <si>
    <t>!=@ ld=ld= sf]?u]6]8 kmfO{j/ Unf; kftfn] 5fgf 5fpg] sfd===========================</t>
  </si>
  <si>
    <t>kmfO{j/ Unf; Kn]g zL6sf] w'/L agfO{ h8fg ug]{ sfd ===================================</t>
  </si>
  <si>
    <t>!=@ ld=ld= Kn]g kmfO{j/ Unf; kftfn] 5fgf 5fpg] sfd=================================</t>
  </si>
  <si>
    <t>;gdfO{sf n]ldg]zg sfd ============================================================================</t>
  </si>
  <si>
    <t>kmf]/dfO{sf n]ldg]zg  sfd ==========================================================================</t>
  </si>
  <si>
    <t>e¥ofËsf] v'8\lsnfdf dfj{n gf]lhË ug{] sfd =================================================</t>
  </si>
  <si>
    <t>dfj{n kf]ln; dfq ug{] sfd =======================================================================</t>
  </si>
  <si>
    <t>@% dL=dL= afSnf] PlG6l:nk l;d]G6 6fOn l;d]G6 jfn'jfdf -!M$_ ===================</t>
  </si>
  <si>
    <t>!Æ afSnf] ?lkmË 6fon a'§f Knfi6/ l;d]G6 d;nf -!M$_ ================================</t>
  </si>
  <si>
    <t>t]lnof O{6f 5fk]sf]df l;d]G6 afn'jf -!M!_ l6Ksf/ =========================================</t>
  </si>
  <si>
    <t>l;d]G6df # dL=dL= afSnf] ˆnl;+u Knfi6/ nufpg] sfd==================================</t>
  </si>
  <si>
    <t>PZn/ sfddf ˆn; ?N8 l6Ksf/ l;d]G6 afn'jf -!M#_ sfo{ ============================</t>
  </si>
  <si>
    <t xml:space="preserve">leQf Pjd\ l;lnËdf @ ld=ld= Kn]g XjfO{6 k'§L Knfi6/ ug]{ sfo{===================== </t>
  </si>
  <si>
    <t>Ps tx Knfli6s km]N6 nufpg] sfd ============================================================</t>
  </si>
  <si>
    <t>b'O{ tx Knfli6s km]N6 nufpg] sfd ==============================================================</t>
  </si>
  <si>
    <t>%)) u]hsf] kf]lnlyg zL6 Ps tx lj5\ofpg] ===============================================</t>
  </si>
  <si>
    <t>Ps tx 6f/km]N6 nufpg] sfd ====================================================================</t>
  </si>
  <si>
    <t>b'O{ tx 6f/km]N6 nufpg] sfd =======================================================================</t>
  </si>
  <si>
    <t>l;d]G6 jf jh| Knfi6/ eTsfO{ !) dL= k/ x6fpg] sfd==================================</t>
  </si>
  <si>
    <t>6fOn 5fgf eTsfO{ !) dL= k/ x6fpg] sfd====================================================</t>
  </si>
  <si>
    <t>kmnfd] sfd -Rofgn PËn 6L cflb_ x6fpg] sfo{ lemSg]=====================================</t>
  </si>
  <si>
    <t>kmnfd] lu|n agfO{ vfS;L nufO{ /]8cS;fO8 k]G6==============================================</t>
  </si>
  <si>
    <t>kmnfd] sf]nfK;Lan u]6 k]lG6Ë / h8fg ;d]t ug]{ =========================================</t>
  </si>
  <si>
    <t>lh=cfO{=sf9]tf/ -jf/ j]8 jfo/_ nufpg] ======================================================</t>
  </si>
  <si>
    <t>% ls=dL= ;Ddsf] b'/L # 6g Sofkfl;6Ls] 6«såf/f vlg elTs cfPsf==============</t>
  </si>
  <si>
    <t>kmnfd] lu|n agfO{ vfS;L nufO{ /]8cS;fO8 k]G6 ;d]t u/L hf]8\g]</t>
  </si>
  <si>
    <t>9=</t>
  </si>
  <si>
    <t>10=</t>
  </si>
  <si>
    <t>11=</t>
  </si>
  <si>
    <t>12=</t>
  </si>
  <si>
    <t>13=</t>
  </si>
  <si>
    <t>14=</t>
  </si>
  <si>
    <t>15=</t>
  </si>
  <si>
    <t>16=</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</si>
  <si>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</si>
  <si>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</si>
  <si>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</si>
  <si>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</si>
  <si>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</si>
  <si>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</si>
  <si>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</si>
  <si>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</si>
  <si>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</si>
  <si>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</si>
  <si>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</si>
  <si>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</si>
  <si>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</si>
  <si>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</si>
  <si>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</si>
  <si>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</si>
  <si>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</si>
  <si>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</si>
  <si>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</si>
  <si>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</si>
  <si>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</si>
  <si>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</si>
  <si>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</si>
  <si>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</si>
  <si>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</si>
  <si>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</si>
  <si>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</si>
  <si>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</si>
  <si>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</si>
  <si>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</si>
  <si>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</si>
  <si>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</si>
  <si>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</si>
  <si>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</si>
  <si>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</si>
  <si>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</si>
  <si>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</si>
  <si>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</si>
  <si>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</si>
  <si>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</si>
  <si>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</si>
  <si>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</si>
  <si>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</si>
  <si>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</si>
  <si>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</si>
  <si>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</si>
  <si>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</si>
  <si>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</si>
  <si>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</si>
  <si>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</si>
  <si>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</si>
  <si>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</si>
  <si>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</si>
  <si>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A 1</t>
  </si>
  <si>
    <t>A 2</t>
  </si>
  <si>
    <r>
      <t xml:space="preserve">3fF; </t>
    </r>
    <r>
      <rPr>
        <sz val="11"/>
        <rFont val="Arial"/>
        <family val="2"/>
      </rPr>
      <t>(Dubo)</t>
    </r>
  </si>
  <si>
    <t>Dobo</t>
  </si>
  <si>
    <t>/8 ;lxt j]N8/</t>
  </si>
  <si>
    <r>
      <t>?v /f]Kg] sfd, vfN8f] vNg], $% ;]=dL= uf]nfO{df rf/ j6f #</t>
    </r>
    <r>
      <rPr>
        <sz val="12"/>
        <rFont val="Calibri"/>
        <family val="2"/>
        <scheme val="minor"/>
      </rPr>
      <t>x</t>
    </r>
    <r>
      <rPr>
        <sz val="14"/>
        <rFont val="Preeti"/>
      </rPr>
      <t>@) dLdL sf] kmnfd] kftf / @</t>
    </r>
    <r>
      <rPr>
        <sz val="12"/>
        <rFont val="Calibri"/>
        <family val="2"/>
        <scheme val="minor"/>
      </rPr>
      <t>"X</t>
    </r>
    <r>
      <rPr>
        <sz val="14"/>
        <rFont val="Preeti"/>
      </rPr>
      <t>@</t>
    </r>
    <r>
      <rPr>
        <sz val="12"/>
        <rFont val="Calibri"/>
        <family val="2"/>
        <scheme val="minor"/>
      </rPr>
      <t>"</t>
    </r>
    <r>
      <rPr>
        <sz val="14"/>
        <rFont val="Preeti"/>
      </rPr>
      <t xml:space="preserve"> d];</t>
    </r>
  </si>
  <si>
    <r>
      <t>@</t>
    </r>
    <r>
      <rPr>
        <sz val="13"/>
        <rFont val="Calibri"/>
        <family val="2"/>
        <scheme val="minor"/>
      </rPr>
      <t>"X</t>
    </r>
    <r>
      <rPr>
        <sz val="13"/>
        <rFont val="Preeti"/>
      </rPr>
      <t>@</t>
    </r>
    <r>
      <rPr>
        <sz val="13"/>
        <rFont val="Calibri"/>
        <family val="2"/>
        <scheme val="minor"/>
      </rPr>
      <t>"</t>
    </r>
    <r>
      <rPr>
        <sz val="13"/>
        <rFont val="Preeti"/>
      </rPr>
      <t xml:space="preserve"> d]; hfnL </t>
    </r>
  </si>
  <si>
    <r>
      <t>!%)</t>
    </r>
    <r>
      <rPr>
        <sz val="11"/>
        <color theme="1"/>
        <rFont val="Calibri"/>
        <family val="2"/>
        <scheme val="minor"/>
      </rPr>
      <t>X</t>
    </r>
    <r>
      <rPr>
        <sz val="11"/>
        <color theme="1"/>
        <rFont val="Preeti"/>
      </rPr>
      <t>@))</t>
    </r>
    <r>
      <rPr>
        <sz val="11"/>
        <color theme="1"/>
        <rFont val="Calibri"/>
        <family val="2"/>
        <scheme val="minor"/>
      </rPr>
      <t>X</t>
    </r>
    <r>
      <rPr>
        <sz val="11"/>
        <color theme="1"/>
        <rFont val="Preeti"/>
      </rPr>
      <t>@)) Pd=Pd=sf] xf]nf] Ans</t>
    </r>
  </si>
  <si>
    <r>
      <t xml:space="preserve">a]G6f]g]6 kfp8/ </t>
    </r>
    <r>
      <rPr>
        <sz val="11"/>
        <rFont val="Preeti"/>
      </rPr>
      <t xml:space="preserve">-$) s]hL </t>
    </r>
    <r>
      <rPr>
        <sz val="10"/>
        <rFont val="Arial"/>
        <family val="2"/>
      </rPr>
      <t>=</t>
    </r>
    <r>
      <rPr>
        <sz val="11"/>
        <rFont val="Arial"/>
        <family val="2"/>
      </rPr>
      <t xml:space="preserve"> </t>
    </r>
    <r>
      <rPr>
        <sz val="11"/>
        <rFont val="Preeti"/>
      </rPr>
      <t>! Aff]/f_</t>
    </r>
  </si>
  <si>
    <t>Bentonet Powder (1 kg = Rs. 9.20)</t>
  </si>
  <si>
    <t>1 Bag</t>
  </si>
  <si>
    <t xml:space="preserve">:yfgLo s'–sf7 </t>
  </si>
  <si>
    <t>:yfgLo s' sf&amp;</t>
  </si>
  <si>
    <r>
      <t xml:space="preserve">)=$% </t>
    </r>
    <r>
      <rPr>
        <sz val="9"/>
        <rFont val="Arial"/>
        <family val="2"/>
      </rPr>
      <t>Plain</t>
    </r>
    <r>
      <rPr>
        <sz val="12"/>
        <rFont val="Arial"/>
        <family val="2"/>
      </rPr>
      <t xml:space="preserve"> </t>
    </r>
    <r>
      <rPr>
        <sz val="12"/>
        <rFont val="Preeti"/>
      </rPr>
      <t>zL6</t>
    </r>
  </si>
  <si>
    <t>)=$! dL=dL= /+lug ss{6 kftf</t>
  </si>
  <si>
    <t>)=$% dL=dL= /+lug ss{6 kftf</t>
  </si>
  <si>
    <t>dfn;fdfg pknAw u/L !=@ dL=dL= afSnf] kmfO{j/ Unf;sf] zL6sf] w'/L agfO{ h8fg ug]{ sfd k'/f .</t>
  </si>
  <si>
    <t>Kn]g zL6 -^) ;]=dL= rf}8fO{_</t>
  </si>
  <si>
    <t>!@ dL=dL= df]6fO{ ePsf] kf6L{zg jf]8{ Ps ;fO8 n]ldg]6 u/]sf] h8fg ug]{ sfo{ .</t>
  </si>
  <si>
    <t>!@ dL=dL= df]6fO{ ePsf] Ps ;fO{8 nfldg]6 ul/Psf]</t>
  </si>
  <si>
    <t>@) dL=dL /f]8f</t>
  </si>
  <si>
    <t>gf]6M 9'+ufsf] w'nf] 3=dL=nfO{ )=)% dL6/n] u'0fg u/]sf] .</t>
  </si>
  <si>
    <t>gf]6M 9'+ufsf] w'nf] 3=dL=nfO{ )=)^ dL6/n] u'0fg u/]sf] .</t>
  </si>
  <si>
    <t>Supplying &amp; fixing Structure glazing with laminated safety glass 6.38 mm thick</t>
  </si>
  <si>
    <t>^«; -cfO/g Anfs kfOk_ tof/ u/L h*fg ;d]t</t>
  </si>
  <si>
    <t>l;;f} sf7sf] ljl8Ë</t>
  </si>
  <si>
    <t xml:space="preserve">  Supplying and fitting Aluminium fixed panel  window with Ventilation but without fly mesh shutter from section (88 x38.1x1.3)mm and 5mm glass.</t>
  </si>
  <si>
    <r>
      <t xml:space="preserve">fixed panel  window with Ventilation but without fly mesh shutter </t>
    </r>
    <r>
      <rPr>
        <sz val="13"/>
        <rFont val="Preeti"/>
      </rPr>
      <t xml:space="preserve">sf </t>
    </r>
  </si>
  <si>
    <t>Supplying and fitting Aluminium fixed panel  window with Ventilation but with fly mesh shutter from section (88 x38.1x1.3)mm and 5mm glass.</t>
  </si>
  <si>
    <t>fixed panel  window with Ventilation but with fly mesh shutter</t>
  </si>
  <si>
    <t>sliding window with Ventilator</t>
  </si>
  <si>
    <t>sliding door</t>
  </si>
  <si>
    <t>Supplying and fitting  Aluminium sliding window with Ventilator from section (101 x45x1.50)mm                       and 5mm glass.</t>
  </si>
  <si>
    <t>1 Aluminium fixed panel  window with Ventilation but without fly mesh shutter from section (88 x38.1x1.3)mm and 5mm glass.</t>
  </si>
  <si>
    <t>2 Aluminium fixed panel  window with Ventilation but with fly mesh shutter from section (88 x38.1x1.3)mm and 5mm glass.</t>
  </si>
  <si>
    <t>3 Aluminium sliding window without Ventilator from section (101 x45x1.50)mm and 5mm glass.</t>
  </si>
  <si>
    <t>4 Aluminium sliding window with Ventilator from section (101 x45x1.50)mm and 5mm glass.</t>
  </si>
  <si>
    <t>5 Aluminium sliding door section (101 x45 x1.5)mm with sash 40x45x1.5mm and 5mm glass.</t>
  </si>
  <si>
    <t>6 Casement double panel aluminum windows with Ventilation section of (54x33x1.5)mm with sash 38x34x1.5mm and 5mm glass.</t>
  </si>
  <si>
    <t>7 Aluminium casement door section of (101 x45 x1.5)mm sash 40x45x1.5mm &amp; 5mm glass.</t>
  </si>
  <si>
    <t>8 Aluminium swing door section of (101 x45 x1.5)mm  &amp; 5mm glass.</t>
  </si>
  <si>
    <t>9 Aluminium sliding window 2 track section of (88 x38x1.5)mm &amp; 5mm glass.</t>
  </si>
  <si>
    <t>10 Aluminium fixed window and partition with fixed ventilator from  9mm board and  section (101 x45x1.5)</t>
  </si>
  <si>
    <t>11 Aluminium partition with 5mm thick glass and  9mm thick laminated  board of section (101 x45x1.1)</t>
  </si>
  <si>
    <t>12 Aluminium partition with 5mm thick glass and  9mm thick laminated  board of section (64 x38x1.1)</t>
  </si>
  <si>
    <t>Supplying and fitting  Aluminium sliding door section (101 x45 x1.5)mm with sash 40x45x1.5mm                        and 5mm glass.</t>
  </si>
  <si>
    <t>Supplying and fitting Aluminium casement door section of (101 x45 x1.5)mm sash 40x45x1.5mm &amp; 5mm glass.</t>
  </si>
  <si>
    <t>Supplying and fitting Casement double panel aluminum windows with Ventilation section of (54x33x1.5)mm with sash 38x34x1.5mm and 5mm glass.</t>
  </si>
  <si>
    <t>Supplying and fitting Aluminium swing door section of (101 x45 x1.5)mm  &amp; 5mm glass.</t>
  </si>
  <si>
    <t>Supplying and fitting Aluminium sliding window 2 track section of (88 x38x1.5)mm &amp; 5mm glass.</t>
  </si>
  <si>
    <t>Supplying and fitting Aluminium fixed window and partition with fixed ventilator from 9mm board and                          section (101 x45x1.5)</t>
  </si>
  <si>
    <t>Supplying and fitting Aluminium partition with 5mm thick glass and  9mm thick laminated  board of section (101 x45x1.1)</t>
  </si>
  <si>
    <t>Supplying and fitting Aluminium partition with 5mm thick glass and  9mm thick laminated  board of                          section (64 x38x1.1)</t>
  </si>
  <si>
    <t>Supplying and fitting Aluminium sliding window without Ventilator from section (101 x45x1.50)mm                              and 5mm glass.</t>
  </si>
  <si>
    <t>sliding window without Ventilator</t>
  </si>
  <si>
    <t>with sash</t>
  </si>
  <si>
    <t>Casement double panel</t>
  </si>
  <si>
    <t>windows with Ventilation</t>
  </si>
  <si>
    <t xml:space="preserve">Casement door </t>
  </si>
  <si>
    <t>sliding window 2 track</t>
  </si>
  <si>
    <t>fixed window and partition with</t>
  </si>
  <si>
    <t xml:space="preserve"> fixed ventilator from 9mm board</t>
  </si>
  <si>
    <t xml:space="preserve">partition with 5mm thick glass </t>
  </si>
  <si>
    <t>and  9mm thick laminated  board</t>
  </si>
  <si>
    <t xml:space="preserve">Structure glazing </t>
  </si>
  <si>
    <r>
      <t xml:space="preserve">sash </t>
    </r>
    <r>
      <rPr>
        <sz val="12"/>
        <rFont val="Preeti"/>
      </rPr>
      <t>sf ;/;fdfg</t>
    </r>
  </si>
  <si>
    <t xml:space="preserve">9'+ufsf] -/a'n_ uf/f]sf] sfd ;fx|f] Ans:6f]g pknAw ug]{, ;'Vvf uf/f] nufpg] </t>
  </si>
  <si>
    <t>B 1</t>
  </si>
  <si>
    <t>B 2</t>
  </si>
  <si>
    <t>B 3</t>
  </si>
  <si>
    <t>B 4</t>
  </si>
  <si>
    <t>C 1</t>
  </si>
  <si>
    <t>Supplying and fitting Ready made Teak wood Doors, special (Seasoned and Poisoned treated ,one side teak)  with all neccessary hardware all complete.</t>
  </si>
  <si>
    <t>P;L8 kfp8/</t>
  </si>
  <si>
    <t xml:space="preserve">clV;8fOh/ -cShflns_ </t>
  </si>
  <si>
    <t>C 2</t>
  </si>
  <si>
    <t>C6</t>
  </si>
  <si>
    <t>C9</t>
  </si>
  <si>
    <t>C10</t>
  </si>
  <si>
    <t>C13</t>
  </si>
  <si>
    <t>D2</t>
  </si>
  <si>
    <t>D9</t>
  </si>
  <si>
    <t>E1</t>
  </si>
  <si>
    <t>E2</t>
  </si>
  <si>
    <t>E3</t>
  </si>
  <si>
    <t>E4</t>
  </si>
  <si>
    <t>E12</t>
  </si>
  <si>
    <t>E13</t>
  </si>
  <si>
    <t>F4</t>
  </si>
  <si>
    <t>F6</t>
  </si>
  <si>
    <t>F9</t>
  </si>
  <si>
    <t>F10</t>
  </si>
  <si>
    <t>F11</t>
  </si>
  <si>
    <t>F19</t>
  </si>
  <si>
    <t>F20</t>
  </si>
  <si>
    <t>F21</t>
  </si>
  <si>
    <t>G2</t>
  </si>
  <si>
    <t>G3</t>
  </si>
  <si>
    <t>G4</t>
  </si>
  <si>
    <t>G5</t>
  </si>
  <si>
    <t>G8</t>
  </si>
  <si>
    <t>G7</t>
  </si>
  <si>
    <t>G9</t>
  </si>
  <si>
    <t>G10</t>
  </si>
  <si>
    <t>H 14</t>
  </si>
  <si>
    <t>H 15</t>
  </si>
  <si>
    <t>H 16</t>
  </si>
  <si>
    <t>H 17</t>
  </si>
  <si>
    <t>H 18</t>
  </si>
  <si>
    <t>H 19</t>
  </si>
  <si>
    <t>H 20</t>
  </si>
  <si>
    <t>H 21</t>
  </si>
  <si>
    <t>H 22</t>
  </si>
  <si>
    <t>H 23</t>
  </si>
  <si>
    <t>H 24</t>
  </si>
  <si>
    <t>H 26</t>
  </si>
  <si>
    <t>H27</t>
  </si>
  <si>
    <t>PNsfnL k|lt/f]ws 6fOn</t>
  </si>
  <si>
    <t>H31</t>
  </si>
  <si>
    <t>H30</t>
  </si>
  <si>
    <t>H33</t>
  </si>
  <si>
    <t>H37</t>
  </si>
  <si>
    <t>I 1</t>
  </si>
  <si>
    <t>I 3</t>
  </si>
  <si>
    <t>I 4</t>
  </si>
  <si>
    <t>I 5</t>
  </si>
  <si>
    <t>@% dL=dL= afSnf] df6f]sf] lnpg Knfi6/ ug]{ sfd d;nf tof/ kf/L #) dL= ;Dd</t>
  </si>
  <si>
    <t>I 6</t>
  </si>
  <si>
    <t>I 8</t>
  </si>
  <si>
    <t>I 9</t>
  </si>
  <si>
    <t>I 10</t>
  </si>
  <si>
    <t>I 11</t>
  </si>
  <si>
    <t>I 12</t>
  </si>
  <si>
    <t>I 14</t>
  </si>
  <si>
    <t>I 15</t>
  </si>
  <si>
    <t>I 16</t>
  </si>
  <si>
    <t>I 17</t>
  </si>
  <si>
    <t>J 1</t>
  </si>
  <si>
    <t>J 2</t>
  </si>
  <si>
    <t>J 3</t>
  </si>
  <si>
    <t>J 4</t>
  </si>
  <si>
    <t>J 5</t>
  </si>
  <si>
    <t>J 6</t>
  </si>
  <si>
    <t>J 7</t>
  </si>
  <si>
    <t>J 8</t>
  </si>
  <si>
    <t>J 9</t>
  </si>
  <si>
    <t>J 10</t>
  </si>
  <si>
    <t>J 11</t>
  </si>
  <si>
    <t>J 12</t>
  </si>
  <si>
    <t>J 13</t>
  </si>
  <si>
    <t>J 14</t>
  </si>
  <si>
    <t>J 15</t>
  </si>
  <si>
    <t>J 16</t>
  </si>
  <si>
    <t>J 17</t>
  </si>
  <si>
    <t>J 18</t>
  </si>
  <si>
    <t>J 20</t>
  </si>
  <si>
    <t>J 21</t>
  </si>
  <si>
    <t>J 22</t>
  </si>
  <si>
    <t>J 23</t>
  </si>
  <si>
    <t>J 26</t>
  </si>
  <si>
    <t>J 28</t>
  </si>
  <si>
    <t>J 29</t>
  </si>
  <si>
    <t>J 24</t>
  </si>
  <si>
    <t>J 25</t>
  </si>
  <si>
    <t>K 1</t>
  </si>
  <si>
    <t>K 2</t>
  </si>
  <si>
    <t>K 3</t>
  </si>
  <si>
    <t>K 4</t>
  </si>
  <si>
    <t>K 5</t>
  </si>
  <si>
    <t>K 6</t>
  </si>
  <si>
    <t>K 7</t>
  </si>
  <si>
    <t>L 1</t>
  </si>
  <si>
    <t>L 2</t>
  </si>
  <si>
    <t>L 3</t>
  </si>
  <si>
    <t>L 4</t>
  </si>
  <si>
    <t>L 5</t>
  </si>
  <si>
    <t>L 6</t>
  </si>
  <si>
    <t>L 11</t>
  </si>
  <si>
    <t>L 8</t>
  </si>
  <si>
    <t>L 12</t>
  </si>
  <si>
    <t>L 13</t>
  </si>
  <si>
    <t>L 14</t>
  </si>
  <si>
    <t>L 16</t>
  </si>
  <si>
    <t>L 18</t>
  </si>
  <si>
    <t>L 19</t>
  </si>
  <si>
    <t>L 22</t>
  </si>
  <si>
    <t>M 1</t>
  </si>
  <si>
    <t>M 2</t>
  </si>
  <si>
    <t>M 3</t>
  </si>
  <si>
    <t>M 4</t>
  </si>
  <si>
    <t>M 5</t>
  </si>
  <si>
    <t>M 6</t>
  </si>
  <si>
    <t>M 7</t>
  </si>
  <si>
    <t>M 8</t>
  </si>
  <si>
    <t>M 9</t>
  </si>
  <si>
    <t>M 10</t>
  </si>
  <si>
    <t>M 11</t>
  </si>
  <si>
    <t>M 12</t>
  </si>
  <si>
    <t>M 13</t>
  </si>
  <si>
    <t>M 16</t>
  </si>
  <si>
    <r>
      <t>!%</t>
    </r>
    <r>
      <rPr>
        <sz val="12"/>
        <rFont val="Arial"/>
        <family val="2"/>
      </rPr>
      <t>X</t>
    </r>
    <r>
      <rPr>
        <sz val="16"/>
        <rFont val="Preeti"/>
      </rPr>
      <t>!% ;]=dL= ;fOhsf] lzzf} sf7sf] kf]i6 tyf #Æ</t>
    </r>
    <r>
      <rPr>
        <sz val="12"/>
        <rFont val="Arial"/>
        <family val="2"/>
      </rPr>
      <t>X</t>
    </r>
    <r>
      <rPr>
        <sz val="16"/>
        <rFont val="Preeti"/>
      </rPr>
      <t>#Æ ;fO{hsf] an':6/ /fvL #Æ</t>
    </r>
    <r>
      <rPr>
        <sz val="12"/>
        <rFont val="Arial"/>
        <family val="2"/>
      </rPr>
      <t>X</t>
    </r>
    <r>
      <rPr>
        <sz val="16"/>
        <rFont val="Preeti"/>
      </rPr>
      <t xml:space="preserve">$Æ ;fO{hsf] lzzf}sf] Xof08/]n agfO{ h8fg ug]{ sfd . </t>
    </r>
  </si>
  <si>
    <t>M 17</t>
  </si>
  <si>
    <t>N 1</t>
  </si>
  <si>
    <t>N 2</t>
  </si>
  <si>
    <t>N 3</t>
  </si>
  <si>
    <t>N 6</t>
  </si>
  <si>
    <t>N 7</t>
  </si>
  <si>
    <t>N 8</t>
  </si>
  <si>
    <t>N 9</t>
  </si>
  <si>
    <t>N 10</t>
  </si>
  <si>
    <t>N 12</t>
  </si>
  <si>
    <t>N 11</t>
  </si>
  <si>
    <t>N 14</t>
  </si>
  <si>
    <t>G 21</t>
  </si>
  <si>
    <t>NRs100/cum</t>
  </si>
  <si>
    <t>NRs300</t>
  </si>
  <si>
    <t>0.4(T+0.75)*100</t>
  </si>
  <si>
    <t xml:space="preserve">cu|fv sf7sf]  </t>
  </si>
  <si>
    <t>Aluminium fixed panel  window with Ventilation but with fly mesh shutter……………………………….</t>
  </si>
  <si>
    <t>Aluminium swing door section of (101 x45 x1.5)mm……………..</t>
  </si>
  <si>
    <t>Aluminium sliding window 2 track section of (88 x38x1.5)mm…………………….</t>
  </si>
  <si>
    <t>UPVC Casement Window 60*60 mm White Colour…………………………………</t>
  </si>
  <si>
    <t>Structure glazing with laminated safety glass 6.38 mm thick</t>
  </si>
  <si>
    <t>b/ k|lt ?vsf]</t>
  </si>
  <si>
    <t>1000ln=</t>
  </si>
  <si>
    <t>17=s</t>
  </si>
  <si>
    <t>17=v</t>
  </si>
  <si>
    <t>#)^f</t>
  </si>
  <si>
    <t xml:space="preserve">uf/f]sf] aflx/L ;txdf brL ckf k|of]u u/L l;d]G6 jfn'jf -!M$_=================================================================   </t>
  </si>
  <si>
    <t xml:space="preserve">hu leQf kvf{ndf l;d]G6 s+lqm6 ug]{ sfd '-lk=;L=;L= !M$M*_  =============================================================================================   </t>
  </si>
  <si>
    <t>hu leQf kvf{ndf l;d]G6 s+lqm6 ug]{ sfd-lk=;L=;L= !M#M^_============================================================================</t>
  </si>
  <si>
    <t>71=s</t>
  </si>
  <si>
    <t>71=v</t>
  </si>
  <si>
    <t>72=s</t>
  </si>
  <si>
    <t>72=v</t>
  </si>
  <si>
    <t>76=v</t>
  </si>
  <si>
    <t>76=s</t>
  </si>
  <si>
    <t>77=s</t>
  </si>
  <si>
    <t>77=v</t>
  </si>
  <si>
    <t>78=s</t>
  </si>
  <si>
    <t>78=v</t>
  </si>
  <si>
    <t>79=s</t>
  </si>
  <si>
    <t>79=v</t>
  </si>
  <si>
    <t xml:space="preserve">#* dL=dL= afSnf] cu|fv sf7sf] k|m]ddf hL=cfO{=d:SjL6f] k|'km jfo/d]z ============================================   </t>
  </si>
  <si>
    <t xml:space="preserve">#* dL=dL= afSnf] cu|fv sf7sf] k|m]ddf d:SjL6f] k|'km jfo/ d]z hfnL =======================================================================   </t>
  </si>
  <si>
    <t xml:space="preserve">sf7sf] k|m]ddf d:SjL6f] k|'km hfnL lnli6åf/f h8fg ug]{ sfo{   =============================================================================================   </t>
  </si>
  <si>
    <t xml:space="preserve">!@ dL=dL= df]6fO{ ePsf] kf6L{zg jf]8{ Ps ;fO8 n]ldg]6 sfd  ====================== </t>
  </si>
  <si>
    <t>@) dL=dL= 6]/fhf] 6fO{n @) dL=dL= afSnf] !M$ efudf l;d]G6 afn'jf===============</t>
  </si>
  <si>
    <t>Ps sf]6 Ogfd]n k]G6 nufpg] sfd -Ps sf]6 k|fOd/ ;lxt_ =======================================================================</t>
  </si>
  <si>
    <t>KjfOG^</t>
  </si>
  <si>
    <t>b/ k|lt /=ld=sf]</t>
  </si>
  <si>
    <t>5 km</t>
  </si>
  <si>
    <t>Distance for site to disposal site</t>
  </si>
  <si>
    <t>T=2*d1/v1</t>
  </si>
  <si>
    <t>2x5/20</t>
  </si>
  <si>
    <t>sfo{ ;d"x …7Ú M– cf]; lg/f]wssf] sfd</t>
  </si>
  <si>
    <t>Pressure grouting on RCC Roof slab………………………………………………….</t>
  </si>
  <si>
    <t>Pressure grouting on  basement slab………………………………………………….</t>
  </si>
  <si>
    <t>Pressure grouting and sealing RCC slab crack ……………………………………………….</t>
  </si>
  <si>
    <t>Pressure grouting on RCC Column ……………………………………………….</t>
  </si>
  <si>
    <t>sfo{ ;d"x …9Ú M– eTsfO{ ;fdfg ;'/lIft :yfgdf /fVg] sfd</t>
  </si>
  <si>
    <t>sfo{ ;d"x …0fÚ M– kmnfd] sfd</t>
  </si>
  <si>
    <t>sfo{ ;d"x …tÚ M– /]lnËsf] sfd</t>
  </si>
  <si>
    <t>sfo{ ;d"x …yÚ M– sf7;Fu ;DalGwt ljljw sfd</t>
  </si>
  <si>
    <r>
      <t xml:space="preserve">sfo{ ;d"x …8Ú M– </t>
    </r>
    <r>
      <rPr>
        <b/>
        <sz val="14"/>
        <rFont val="Arial"/>
        <family val="2"/>
      </rPr>
      <t>Pressure Grouting</t>
    </r>
    <r>
      <rPr>
        <b/>
        <sz val="14"/>
        <rFont val="Preeti"/>
      </rPr>
      <t xml:space="preserve"> sf] sfd</t>
    </r>
  </si>
  <si>
    <t>sfo{ ;d"x …bÚ M– cNd'lgodsf] sfd</t>
  </si>
  <si>
    <t>sfo{ ;d"x …wÚ M– o'=lk=le=;L=sf] sfd</t>
  </si>
  <si>
    <t>sfo{ ;d"x …gÚ M– ljljw sfd</t>
  </si>
  <si>
    <r>
      <t xml:space="preserve">3fF; sf6\g] To;sf] h/f lemSg], l9:sf] k'm6fpg] / n]en ldnfpg] sfo{ ========================================================================================== </t>
    </r>
    <r>
      <rPr>
        <sz val="15"/>
        <rFont val="Kanchan"/>
      </rPr>
      <t xml:space="preserve"> </t>
    </r>
  </si>
  <si>
    <r>
      <t xml:space="preserve">3fF;sf] rk/L nufpg] sfd rk/L sf6\g] sfd ========================================================================================== </t>
    </r>
    <r>
      <rPr>
        <sz val="15"/>
        <rFont val="Kanchan"/>
      </rPr>
      <t xml:space="preserve">  </t>
    </r>
  </si>
  <si>
    <r>
      <t xml:space="preserve">?v /f]Kg] sfd, vfN8f] vNg] tyf cGo sfd ========================================================================================== </t>
    </r>
    <r>
      <rPr>
        <sz val="15"/>
        <rFont val="Kanchan"/>
      </rPr>
      <t xml:space="preserve">  </t>
    </r>
  </si>
  <si>
    <r>
      <t xml:space="preserve">hudf u|fen e/L HofdLåf/f w'd{'; sDKofS6 ug]{ sfd ============================================================================================= </t>
    </r>
    <r>
      <rPr>
        <sz val="15"/>
        <rFont val="Kanchan"/>
      </rPr>
      <t xml:space="preserve">  </t>
    </r>
  </si>
  <si>
    <r>
      <t xml:space="preserve">e'O{+tNnfdf O{+6fsf] uf/f] nufpg] sfd l;d]G6 d;nf -!M$_ df  =============================================================================================   </t>
    </r>
    <r>
      <rPr>
        <sz val="15"/>
        <rFont val="Kanchan"/>
      </rPr>
      <t xml:space="preserve">  </t>
    </r>
  </si>
  <si>
    <r>
      <t>e'O{+tNnfeGbf dfly O{+++6fsf] uf/f] nufpg] sfd l;d]G6 d;nf -!M$_ df=====================</t>
    </r>
    <r>
      <rPr>
        <sz val="15"/>
        <rFont val="Kanchan"/>
      </rPr>
      <t xml:space="preserve">  </t>
    </r>
  </si>
  <si>
    <r>
      <t xml:space="preserve">9'Ëfsf] uf/f] df6f] nufpg] sfd  =============================================================================================   </t>
    </r>
    <r>
      <rPr>
        <sz val="15"/>
        <rFont val="Kanchan"/>
      </rPr>
      <t xml:space="preserve">  </t>
    </r>
  </si>
  <si>
    <r>
      <t xml:space="preserve">husf] vf8ndf 9'+uf eg]{ / n]en ug]{ sfddf  =============================================================================================   </t>
    </r>
    <r>
      <rPr>
        <sz val="15"/>
        <rFont val="Kanchan"/>
      </rPr>
      <t xml:space="preserve"> </t>
    </r>
  </si>
  <si>
    <r>
      <t xml:space="preserve">;'k/ :6«Sr/df l8hfOg adf]lhdsf] </t>
    </r>
    <r>
      <rPr>
        <sz val="12"/>
        <rFont val="Arial"/>
        <family val="2"/>
      </rPr>
      <t>M20 grade</t>
    </r>
    <r>
      <rPr>
        <sz val="15"/>
        <rFont val="Preeti"/>
      </rPr>
      <t xml:space="preserve"> sf] /]l8ldS; s+lqm6==============</t>
    </r>
  </si>
  <si>
    <r>
      <t>%)</t>
    </r>
    <r>
      <rPr>
        <sz val="12"/>
        <rFont val="Arial"/>
        <family val="2"/>
      </rPr>
      <t>X</t>
    </r>
    <r>
      <rPr>
        <sz val="15"/>
        <rFont val="Preeti"/>
      </rPr>
      <t>&amp;% dL=dL= ;fO{hsf] ;Nnf] s' sf7sf] kmN; l;lnË 7f]Sg] sfd ==============================</t>
    </r>
  </si>
  <si>
    <r>
      <t xml:space="preserve">$=% </t>
    </r>
    <r>
      <rPr>
        <sz val="12"/>
        <rFont val="Arial"/>
        <family val="2"/>
      </rPr>
      <t>X</t>
    </r>
    <r>
      <rPr>
        <sz val="15"/>
        <rFont val="Preeti"/>
      </rPr>
      <t xml:space="preserve"> @) dL=dL= kmnfd] lu|n agfO{ vfS;L nufO{ /]8cS;fO8 k]G6===============</t>
    </r>
  </si>
  <si>
    <r>
      <t xml:space="preserve"># </t>
    </r>
    <r>
      <rPr>
        <sz val="12"/>
        <rFont val="Arial"/>
        <family val="2"/>
      </rPr>
      <t>X</t>
    </r>
    <r>
      <rPr>
        <sz val="15"/>
        <rFont val="Preeti"/>
      </rPr>
      <t xml:space="preserve"> @) dL=dL= kmnfd] lu|n agfO{ vfS;L nufO{ /]8cS;fO8 k]G6 =========================</t>
    </r>
  </si>
  <si>
    <r>
      <t xml:space="preserve">% </t>
    </r>
    <r>
      <rPr>
        <sz val="12"/>
        <rFont val="Arial"/>
        <family val="2"/>
      </rPr>
      <t>X</t>
    </r>
    <r>
      <rPr>
        <sz val="15"/>
        <rFont val="Preeti"/>
      </rPr>
      <t xml:space="preserve"> @) dL=dL= kmnfd] kftfsf] k|m]ddf !@ </t>
    </r>
    <r>
      <rPr>
        <sz val="15"/>
        <rFont val="Arial"/>
        <family val="2"/>
      </rPr>
      <t>x</t>
    </r>
    <r>
      <rPr>
        <sz val="15"/>
        <rFont val="Preeti"/>
      </rPr>
      <t xml:space="preserve"> !@ dL=dL=;f]ln8 sf]/ ===============</t>
    </r>
  </si>
  <si>
    <r>
      <t>kmnfd] u]6 !^ u]h -%)</t>
    </r>
    <r>
      <rPr>
        <sz val="12"/>
        <rFont val="Arial"/>
        <family val="2"/>
      </rPr>
      <t>X</t>
    </r>
    <r>
      <rPr>
        <sz val="15"/>
        <rFont val="Preeti"/>
      </rPr>
      <t>%)</t>
    </r>
    <r>
      <rPr>
        <sz val="12"/>
        <rFont val="Arial"/>
        <family val="2"/>
      </rPr>
      <t>X</t>
    </r>
    <r>
      <rPr>
        <sz val="15"/>
        <rFont val="Preeti"/>
      </rPr>
      <t>% dL=dL=sf] k|m]d ;lxt_ agfO{ hf]8\g]=================</t>
    </r>
  </si>
  <si>
    <r>
      <t>lzzf} sf7sf] #Æ</t>
    </r>
    <r>
      <rPr>
        <sz val="12"/>
        <rFont val="Arial"/>
        <family val="2"/>
      </rPr>
      <t>X</t>
    </r>
    <r>
      <rPr>
        <sz val="15"/>
        <rFont val="Preeti"/>
      </rPr>
      <t xml:space="preserve"> $Æ;fO{hsf] Xof08/]n agfO{ lkml6Ë ug]{ sfd========================</t>
    </r>
  </si>
  <si>
    <t>dfn;fdfg pknAw u/L !( ld=ld= df]6fO{sf] KnfO{ jf]8{sf] l;lnË =============]</t>
  </si>
  <si>
    <r>
      <t>#*</t>
    </r>
    <r>
      <rPr>
        <sz val="12"/>
        <rFont val="Arial"/>
        <family val="2"/>
      </rPr>
      <t>X</t>
    </r>
    <r>
      <rPr>
        <sz val="15"/>
        <rFont val="Preeti"/>
      </rPr>
      <t>&amp;% dL=dL= ;fO{hsf] cu|fv sf7sf] # dL= dL= sdl;{on KnfO{p8 ==================</t>
    </r>
  </si>
  <si>
    <r>
      <t>#*</t>
    </r>
    <r>
      <rPr>
        <sz val="12"/>
        <rFont val="Arial"/>
        <family val="2"/>
      </rPr>
      <t>X</t>
    </r>
    <r>
      <rPr>
        <sz val="15"/>
        <rFont val="Preeti"/>
      </rPr>
      <t>&amp;% dL=dL= ;fO{hsf] cu|fv sf7sf] !( dL= dL= cu|fv sf7sf] =================</t>
    </r>
  </si>
  <si>
    <r>
      <t>%)</t>
    </r>
    <r>
      <rPr>
        <sz val="12"/>
        <rFont val="Arial"/>
        <family val="2"/>
      </rPr>
      <t>X</t>
    </r>
    <r>
      <rPr>
        <sz val="15"/>
        <rFont val="Preeti"/>
      </rPr>
      <t>&amp;% dL=dL= ;fO{hsf] cu|fv sf7sf] ^ dL= dL= jf6/k|'km KnfOp8sf]====</t>
    </r>
  </si>
  <si>
    <r>
      <t>&amp;%</t>
    </r>
    <r>
      <rPr>
        <sz val="12"/>
        <rFont val="Arial"/>
        <family val="2"/>
      </rPr>
      <t>X</t>
    </r>
    <r>
      <rPr>
        <sz val="15"/>
        <rFont val="Preeti"/>
      </rPr>
      <t xml:space="preserve">&amp;% dL=dL= ;fO{hsf] cu|fv sf7 !@ dL=dL=sdl;{on KnfO{p8df======= </t>
    </r>
  </si>
  <si>
    <r>
      <t>&amp;%</t>
    </r>
    <r>
      <rPr>
        <sz val="12"/>
        <rFont val="Arial"/>
        <family val="2"/>
      </rPr>
      <t>X</t>
    </r>
    <r>
      <rPr>
        <sz val="15"/>
        <rFont val="Preeti"/>
      </rPr>
      <t xml:space="preserve">&amp;% dL=dL= ;fO{hsf] cu|fv sf7 !@ dL=dL=sdl;{on KnfO{p8df========= </t>
    </r>
  </si>
  <si>
    <t>dfn;fdfg pknAw u/L lh=cfO{=k|m]ddf lhD;d jf]8{sf] l8hfOg kmN;========</t>
  </si>
  <si>
    <t>dfn;fdfg pknAw u/L lh=cfO{=k|m]ddf lhD;d jf]8{sf] ;fwf/0f kmN;==== ===</t>
  </si>
  <si>
    <t>dfn;fdfg pknAw u/L lh=cfO{=k|m]ddf d]6fnfOH8 kf]lnP6/ nfldg]6]8=======</t>
  </si>
  <si>
    <t>dfn;fdfg pknAw u/L lh=cfO{=k|m]ddf ;fwf/0f d]6fnfOH8 kf]lnP6/ ======</t>
  </si>
  <si>
    <t>dfn;fdfg pknAw u/L ^ dL=dL= afSnf] km\nf]S; cf]– jf]8{ kmN;===========</t>
  </si>
  <si>
    <t>dfn;fdfg pknAw u/L @) ld=ld= df]6fO{sf] l;;f} sf7sf] l;lnË==============</t>
  </si>
  <si>
    <r>
      <t>!%</t>
    </r>
    <r>
      <rPr>
        <sz val="12"/>
        <rFont val="Arial"/>
        <family val="2"/>
      </rPr>
      <t>X</t>
    </r>
    <r>
      <rPr>
        <sz val="15"/>
        <rFont val="Preeti"/>
      </rPr>
      <t>!% ;]=dL= ;fOhsf] ;fn sf7sf] kf]i6 tyf #Æ</t>
    </r>
    <r>
      <rPr>
        <sz val="12"/>
        <rFont val="Arial"/>
        <family val="2"/>
      </rPr>
      <t>X</t>
    </r>
    <r>
      <rPr>
        <sz val="15"/>
        <rFont val="Preeti"/>
      </rPr>
      <t>#Æ ;fO{hsf] ===========</t>
    </r>
  </si>
  <si>
    <r>
      <t>!%</t>
    </r>
    <r>
      <rPr>
        <sz val="12"/>
        <rFont val="Arial"/>
        <family val="2"/>
      </rPr>
      <t>X</t>
    </r>
    <r>
      <rPr>
        <sz val="15"/>
        <rFont val="Preeti"/>
      </rPr>
      <t>!% ;]=dL= ;fOhsf] lzzf} sf7sf] kf]i6 tyf #Æ</t>
    </r>
    <r>
      <rPr>
        <sz val="12"/>
        <rFont val="Arial"/>
        <family val="2"/>
      </rPr>
      <t>X</t>
    </r>
    <r>
      <rPr>
        <sz val="15"/>
        <rFont val="Preeti"/>
      </rPr>
      <t>#Æ ;fO{hsf] =============</t>
    </r>
  </si>
  <si>
    <t>#* dL=dL=Aof;sf] :6]Gn];l:6nsf] x\of08/]ndf @ ld6/sf] b"/Ldf==============</t>
  </si>
  <si>
    <t>%) dL=dL=Aof;sf] :6]Gn];l:6nsf] x\of08/]ndf @ ld6/sf] b"/Ldf ============</t>
  </si>
  <si>
    <r>
      <t xml:space="preserve">%) dL=dL= </t>
    </r>
    <r>
      <rPr>
        <sz val="12"/>
        <rFont val="Arial"/>
        <family val="2"/>
      </rPr>
      <t>Ø</t>
    </r>
    <r>
      <rPr>
        <sz val="15"/>
        <rFont val="Preeti"/>
      </rPr>
      <t xml:space="preserve"> sf] sfnf] kmnfd] kfO{k kf]i6 @ dL6/ b"/Ldf @%</t>
    </r>
    <r>
      <rPr>
        <sz val="14"/>
        <rFont val="Arial"/>
        <family val="2"/>
      </rPr>
      <t>x</t>
    </r>
    <r>
      <rPr>
        <sz val="15"/>
        <rFont val="Preeti"/>
      </rPr>
      <t>@%</t>
    </r>
    <r>
      <rPr>
        <sz val="12"/>
        <rFont val="Arial"/>
        <family val="2"/>
      </rPr>
      <t>x</t>
    </r>
    <r>
      <rPr>
        <sz val="15"/>
        <rFont val="Preeti"/>
      </rPr>
      <t>$======</t>
    </r>
  </si>
  <si>
    <r>
      <t xml:space="preserve">%) dL=dL= </t>
    </r>
    <r>
      <rPr>
        <sz val="12"/>
        <rFont val="Arial"/>
        <family val="2"/>
      </rPr>
      <t>Ø</t>
    </r>
    <r>
      <rPr>
        <sz val="15"/>
        <rFont val="Preeti"/>
      </rPr>
      <t xml:space="preserve"> sf] sfnf] kmnfd] kfO{k kf]i6 @ dL6/ b"/Ldf @)</t>
    </r>
    <r>
      <rPr>
        <sz val="12"/>
        <rFont val="Arial"/>
        <family val="2"/>
      </rPr>
      <t>x</t>
    </r>
    <r>
      <rPr>
        <sz val="15"/>
        <rFont val="Preeti"/>
      </rPr>
      <t>@)</t>
    </r>
    <r>
      <rPr>
        <sz val="12"/>
        <rFont val="Arial"/>
        <family val="2"/>
      </rPr>
      <t>x</t>
    </r>
    <r>
      <rPr>
        <sz val="15"/>
        <rFont val="Preeti"/>
      </rPr>
      <t>$=======</t>
    </r>
  </si>
  <si>
    <t>ld6/ b"/Ldf vDaf ufl8 % tx tyf @ j6f 8fouf]gn sf9]tf/ nufpg]========</t>
  </si>
  <si>
    <r>
      <t xml:space="preserve">kmnfd] 3'Dg] e¥ofË M $Æ–^Æ </t>
    </r>
    <r>
      <rPr>
        <sz val="12"/>
        <rFont val="Arial"/>
        <family val="2"/>
      </rPr>
      <t>Ø</t>
    </r>
    <r>
      <rPr>
        <sz val="15"/>
        <rFont val="Preeti"/>
      </rPr>
      <t xml:space="preserve"> ;Ddsf] dWod &gt;]0fLsf] sfnf] kfO{k =========</t>
    </r>
  </si>
  <si>
    <t>ljleGg ;fO{hsf] kmnfd] PËn km]lj|s]zg u/L k|fOd/ k]G6 ;lxt ug]{ ========</t>
  </si>
  <si>
    <t>h:tfkftfsf] 5fgf eTsfO{ To;af6 lg:s]sf sf7 tyf kmnfd] lgdf{0f ========</t>
  </si>
  <si>
    <t>sf7] km]G;sf] sfd x6fpg] df6f] vGg] / vfN8f]df df6f] ;Dofpg] ;d]t =========</t>
  </si>
  <si>
    <t>kmnfd] km]G;sf] sfd x6fpg] df6f] vGg] / vfN8f]df df6f] ;Dofpg] ========</t>
  </si>
  <si>
    <t>s'+b]sf] 9'Ëf, dfj{n jf lk|sfi6 s+lqm6 -r'gf, ;'sL{ d;nfdf_ eTsfpg] ================</t>
  </si>
  <si>
    <t>k'/fgf] dfj{n ˆnf]/ tyf leQfdf HofdLåf/f dfj{n ;tx cShflns  ========</t>
  </si>
  <si>
    <t>uf/f]sf] df]x8fdf lju|]sf] O{6f lgsfnL l;d]G6 afn'jf -!M^_ df uf/f] ========</t>
  </si>
  <si>
    <t>l;d]G6 jf jh|df hf]8]sf] uf/f] eTsfO{ To;af6 cfPsf] ;fdfu+|L !) dL=====</t>
  </si>
  <si>
    <t>df6f]df hf]8]sf] uf/f] eTsfO{ To;af6 cfPsf] ;fdu|L !) dL=;Dd===========</t>
  </si>
  <si>
    <t>Waterproofing treatment by Crystallization Process two coats of …………….</t>
  </si>
  <si>
    <t>Elastocrete cementitious elastomeric water proofing coating 2 …………….</t>
  </si>
  <si>
    <t>k'/fgf] ;txdf lnG;L8 cfonn] k'5L tof/L Ogfd]n k]G6 ! sf]6 ============</t>
  </si>
  <si>
    <r>
      <t>$% ;]=dL=</t>
    </r>
    <r>
      <rPr>
        <sz val="12"/>
        <rFont val="Arial"/>
        <family val="2"/>
      </rPr>
      <t>X</t>
    </r>
    <r>
      <rPr>
        <sz val="15"/>
        <rFont val="Preeti"/>
      </rPr>
      <t>$% ;]=dL= r]K6f] 9'+uf 5fk]sf]df -!M#_ l;d]G6 afn'jfsf] ==========</t>
    </r>
  </si>
  <si>
    <t>af]N8/ 9'+ufsf] uf/f]df l;d]G6 afn'jf -!M@_ df ˆn; ?N8 l6Ksf/ ============</t>
  </si>
  <si>
    <t>!@ dL=dL= afSnf] l;d]G6 jfn'jf -!M^_ df gg\Un]H8 6fOnsf] :sl6{Ë ==========</t>
  </si>
  <si>
    <t>!@ dL=dL= afSnf] !)) dL=dL= prfO{sf] sf7sf] kfs]{6n] :sl6{Ë ug]{ ===========</t>
  </si>
  <si>
    <t>!^ dL=dL= dfj{n,  e¥ofÍ v'8\lsnf, :sl6{Ë, leQf, lkn/ cflbdf 5fkL =======</t>
  </si>
  <si>
    <t>!^ dL=dL= dfj{n  @) dL=dL= afSnf] l;d]G6 d;nfdf 5fkL 3f]6\g] ==========</t>
  </si>
  <si>
    <t>!) dL=dL= afSnf] Pl;8 jf PNsfnL k|lt/f]ws 6fOn l;d]G6 jfn'jfdf========</t>
  </si>
  <si>
    <t>@% dL=dL= l;d]G6 s+lqm6 6fon -v}/f] /+usf]_ !M$ l;d]G6 d;nfdf ===========</t>
  </si>
  <si>
    <t>@% dL=dL= l;d]G6 s+lqm6 6fon -/ftf] /+usf]_ !M$ l;d]G6 d;nfdf==========</t>
  </si>
  <si>
    <t>d]l;gd]8 Sn] 6fon !M$ l;d]G6 afn'jfdf :nf]k ?km ;km]{;df 6f+:g]==============</t>
  </si>
  <si>
    <t>@%–#&amp;=% dL=dL= afSnf] 5fKg] 9'+uf -ˆn}u:6f]g_ !M$ l;d]G6 afn'jfdf=====================================</t>
  </si>
  <si>
    <t>@) dL=dL= df]hfos ˆnf]l/Ë -!M@ _ l;d]G6 af=df -!@=% dL=dL= l;d]G6========================================================================</t>
  </si>
  <si>
    <t>@% dL=dL= df]hfos ˆnf]l/Ë -!M@ _ l;d]G6 af=df -!( dL=dL= l;d]G6=======================================================================</t>
  </si>
  <si>
    <t>@% dL=dL= afSnf] df]hfos ˆnf]l/Ë @) dL=dL= -!M@M$_ l;d]G6 =====================================================================</t>
  </si>
  <si>
    <r>
      <rPr>
        <sz val="10"/>
        <rFont val="Arial"/>
        <family val="2"/>
      </rPr>
      <t xml:space="preserve">Special Seasoned and Poisoned treated ,one side teak and other </t>
    </r>
    <r>
      <rPr>
        <sz val="14"/>
        <rFont val="Preeti"/>
      </rPr>
      <t>===================================================================</t>
    </r>
  </si>
  <si>
    <r>
      <rPr>
        <sz val="10"/>
        <rFont val="Arial"/>
        <family val="2"/>
      </rPr>
      <t>Ordinary Seasoned and Poisoned treated ,one side teak and other</t>
    </r>
    <r>
      <rPr>
        <sz val="14"/>
        <rFont val="Preeti"/>
      </rPr>
      <t>===================================================================</t>
    </r>
  </si>
  <si>
    <r>
      <rPr>
        <sz val="10"/>
        <rFont val="Arial"/>
        <family val="2"/>
      </rPr>
      <t>Ready made Teak wood Doors,special (Seasoned and Poisoned</t>
    </r>
    <r>
      <rPr>
        <sz val="14"/>
        <rFont val="Preeti"/>
      </rPr>
      <t>=============================================</t>
    </r>
  </si>
  <si>
    <r>
      <t>#*</t>
    </r>
    <r>
      <rPr>
        <sz val="12"/>
        <rFont val="Arial"/>
        <family val="2"/>
      </rPr>
      <t>X</t>
    </r>
    <r>
      <rPr>
        <sz val="15"/>
        <rFont val="Preeti"/>
      </rPr>
      <t>!)) dL=dL= ;fnsf7sf] k|m]dsf] Psftkm{ jf6/k|'km KnfO{p8sf]==============================================</t>
    </r>
  </si>
  <si>
    <r>
      <t>#*</t>
    </r>
    <r>
      <rPr>
        <sz val="12"/>
        <rFont val="Arial"/>
        <family val="2"/>
      </rPr>
      <t>X</t>
    </r>
    <r>
      <rPr>
        <sz val="15"/>
        <rFont val="Preeti"/>
      </rPr>
      <t>!)) dL=dL= ;fnsf7sf] k|m]dsf] b'j}tkm{ $ dL=dL= l6sKnfO{p8 ==============================================</t>
    </r>
  </si>
  <si>
    <r>
      <t>#*</t>
    </r>
    <r>
      <rPr>
        <sz val="12"/>
        <rFont val="Arial"/>
        <family val="2"/>
      </rPr>
      <t>X</t>
    </r>
    <r>
      <rPr>
        <sz val="15"/>
        <rFont val="Preeti"/>
      </rPr>
      <t>!)) dL=dL= ;fnsf7sf] k|m]dsf] Psftkm{ $ dL=dL= l6sKnfO{p8 =============================================</t>
    </r>
  </si>
  <si>
    <t>!^–@) dL=dL=Jof;sf] kmnfd] 808L sf+6L em\ofnsf] rf}s;df hf]8\g]==================================================================</t>
  </si>
  <si>
    <t xml:space="preserve">#* dL=dL= afSnf] cu|fv sf7sf] )=% dL=dL= hL=cfO{= Kn]g zL6============================================================   </t>
  </si>
  <si>
    <t xml:space="preserve">#* dL=dL= afSnf] cu|fv sf7sf] $ dL=dL= 6Ls KnfO{p8 h8fg ============================================================   </t>
  </si>
  <si>
    <t xml:space="preserve">#* dL=dL= afSnf] cu|fv sf7sf] ^ dL=dL= jf6/k|'km KnfO{p8 h8fg===================================================   </t>
  </si>
  <si>
    <t xml:space="preserve">#* dL=dL= afSnf] cu|fv sf7sf] k|m]ddf# dL=dL= sdl;{on KnfO{p8 =========================================================   </t>
  </si>
  <si>
    <r>
      <t>#*</t>
    </r>
    <r>
      <rPr>
        <sz val="12"/>
        <rFont val="Arial"/>
        <family val="2"/>
      </rPr>
      <t>X</t>
    </r>
    <r>
      <rPr>
        <sz val="15"/>
        <rFont val="Preeti"/>
      </rPr>
      <t xml:space="preserve">&amp;% dL=dL=;fn sf7sf] k|m]d agfO{ % dL=dL= P]gf vfkf agfO{=================================================   </t>
    </r>
  </si>
  <si>
    <r>
      <t>#*</t>
    </r>
    <r>
      <rPr>
        <sz val="12"/>
        <rFont val="Arial"/>
        <family val="2"/>
      </rPr>
      <t>X</t>
    </r>
    <r>
      <rPr>
        <sz val="15"/>
        <rFont val="Preeti"/>
      </rPr>
      <t xml:space="preserve">&amp;% dL=dL=lr/fg ;fn sf7sf] k|m]d $ dL=dL= P]gf vfkf agfO{===============================================   </t>
    </r>
  </si>
  <si>
    <t xml:space="preserve">#* dL=dL= afSnf] lr/fg cu|fv sf7sf] k|m]d xfnL l8nfvfkf agfO{==========================================================    </t>
  </si>
  <si>
    <t>)=%) dL=dL=  /+uLg zL6sf] !%) ld=ld= rf}8fO{, u6/ agfO{ jf;/ =========</t>
  </si>
  <si>
    <t>)=%) dL=dL=  Kn]g zL6sf] !%) ld=ld= rf}8fO{, u6/ agfO{ jf;/ =========</t>
  </si>
  <si>
    <t xml:space="preserve">)=%) dL=dL=  /+uLg hL=cfO{= zL6sf] w'/L agfO{ h8fg ug]{ sfd===========================================================================================    </t>
  </si>
  <si>
    <t xml:space="preserve">)=%) dL=dL=afSnf] sf]?u]6]8 /+lug ss{6 kftfsf] 5fgf 5fpg] sfd==========================================  </t>
  </si>
  <si>
    <t xml:space="preserve">)=$% dL=dL=afSnf] sf]?u]6]8 /+lug ss{6 kftfsf] 5fgf 5fpg] sfd=========================================  </t>
  </si>
  <si>
    <t xml:space="preserve">)=$! dL=dL=afSnf] sf]?u]6]8 /+lug ss{6 kftfsf] 5fgf 5fpg] sfd ========================================  </t>
  </si>
  <si>
    <r>
      <t xml:space="preserve">)=%) dL=dL= </t>
    </r>
    <r>
      <rPr>
        <sz val="12"/>
        <rFont val="Arial"/>
        <family val="2"/>
      </rPr>
      <t>Plain</t>
    </r>
    <r>
      <rPr>
        <sz val="15"/>
        <rFont val="Preeti"/>
      </rPr>
      <t xml:space="preserve"> hL=cfO{= zL6sf] @ lkm6 rf}8fO{sf] w'/L agfpg]=============================  </t>
    </r>
  </si>
  <si>
    <r>
      <t>)=%) dL=dL=</t>
    </r>
    <r>
      <rPr>
        <sz val="12"/>
        <rFont val="Preeti"/>
      </rPr>
      <t xml:space="preserve"> </t>
    </r>
    <r>
      <rPr>
        <sz val="12"/>
        <rFont val="Arial"/>
        <family val="2"/>
      </rPr>
      <t>Plain</t>
    </r>
    <r>
      <rPr>
        <sz val="15"/>
        <rFont val="Preeti"/>
      </rPr>
      <t xml:space="preserve"> hL=cfO{= zL6sf] @ lkm6 rf}8fO{sf] w'/L agfpg]===========================  </t>
    </r>
  </si>
  <si>
    <r>
      <t>;'k/ :6«Sr/, 8]s :n]a ljdx?df l;d]G6 s+lqm6 ug]{ sfd</t>
    </r>
    <r>
      <rPr>
        <sz val="15"/>
        <rFont val="Preeti"/>
      </rPr>
      <t xml:space="preserve">==========================================================================================   </t>
    </r>
  </si>
  <si>
    <t xml:space="preserve">;'k/ :6«Sr/, 8]s :n]a ljdx?df l;d]G6 s+lqm6 ug]{ sfd ====================================================   </t>
  </si>
  <si>
    <t>@)÷@) ;]=dL= txdf k'l/Psf] df6f]nfO{ Ps 6gsf] xft] /f]n/åf/f=============</t>
  </si>
  <si>
    <t>UPVC 110X64X9mm thick board and 5mm thick Partition With Half ……..</t>
  </si>
  <si>
    <t>Aluminium partition with 5mm thick glass and  9mm thick laminated ….…..</t>
  </si>
  <si>
    <t>Aluminium partition with 5mm thick glass and  9mm thick laminated …….…..</t>
  </si>
  <si>
    <t>Aluminium fixed window and partition with fixed ventilator from 9mm….……</t>
  </si>
  <si>
    <t>Aluminium casement door section of (101 x45 x1.5)mm sash …..………….</t>
  </si>
  <si>
    <t>Casement double panel aluminum windows with Ventilation ………..…….</t>
  </si>
  <si>
    <t>Aluminium sliding door section (101 x45 x1.5)mm with sash ..……………………………….</t>
  </si>
  <si>
    <t>Aluminium sliding window with Ventilator from section ..……………………………….</t>
  </si>
  <si>
    <t>Aluminium sliding window without Ventilator from section……………………………….</t>
  </si>
  <si>
    <t>Aluminium fixed panel  window with Ventilation but without fly mesh………………………………….</t>
  </si>
  <si>
    <r>
      <rPr>
        <sz val="10"/>
        <rFont val="Arial"/>
        <family val="2"/>
      </rPr>
      <t xml:space="preserve">Ready made Teak wood Doors,ordinary (Seasoned and Poisoned </t>
    </r>
    <r>
      <rPr>
        <sz val="14"/>
        <rFont val="Preeti"/>
      </rPr>
      <t>===============================================</t>
    </r>
  </si>
  <si>
    <t>ljleGg lsl;dsf] kmN; l;lnË 7f]Sg] $ dL=dL= sdl;{on KnfO{p8 sfd=================================================================</t>
  </si>
  <si>
    <t>xfO8«f]lns PS;fe]6/ -)=* 3=dL= Ifdtf_ k|of]u u/L g/d df6f] vGg]=========</t>
  </si>
  <si>
    <t>xfO8«f]lns PS;fe]6/ -)=* 3=dL= Ifdtf_ k|of]u u/L s8f df6f] vGg]=======</t>
  </si>
  <si>
    <t>xfO8«f]lns PS;fe]6/ -)=* 3=dL= Ifdtf_ k|of]u u/L g/d df6f] vGg] sfd</t>
  </si>
  <si>
    <t>xfO8«f]lns PS;fe]6/ -)=* 3=dL= Ifdtf_ k|of]u u/L s8f df6f] vGg] sfd</t>
  </si>
  <si>
    <t>Ps ?v</t>
  </si>
  <si>
    <r>
      <t xml:space="preserve">)$% dL=dL= </t>
    </r>
    <r>
      <rPr>
        <sz val="12"/>
        <rFont val="Arial"/>
        <family val="2"/>
      </rPr>
      <t>Plain</t>
    </r>
    <r>
      <rPr>
        <sz val="15"/>
        <rFont val="Preeti"/>
      </rPr>
      <t xml:space="preserve"> hL=cfO{= zL6sf] @ lkm6 rf}8fO{sf] w'/L agfpg]================================  </t>
    </r>
  </si>
  <si>
    <r>
      <t xml:space="preserve">)=$% dL=dL= </t>
    </r>
    <r>
      <rPr>
        <sz val="12"/>
        <rFont val="Arial"/>
        <family val="2"/>
      </rPr>
      <t>Plain</t>
    </r>
    <r>
      <rPr>
        <sz val="15"/>
        <rFont val="Preeti"/>
      </rPr>
      <t xml:space="preserve"> hL=cfO{= zL6sf] @ lkm6 rf}8fO{sf] w'/L agfpg] ============================  </t>
    </r>
  </si>
  <si>
    <r>
      <t xml:space="preserve">Hofldåf/f sDk}S6 ug]{ sfd ;d]t !) dL= b"/Laf6 9'jfgL ug]{ </t>
    </r>
    <r>
      <rPr>
        <sz val="14"/>
        <rFont val="Arial"/>
        <family val="2"/>
      </rPr>
      <t>(</t>
    </r>
    <r>
      <rPr>
        <sz val="14"/>
        <rFont val="Preeti"/>
      </rPr>
      <t xml:space="preserve"> df6f]sf] d"No afx]s</t>
    </r>
    <r>
      <rPr>
        <sz val="14"/>
        <rFont val="Arial"/>
        <family val="2"/>
      </rPr>
      <t>)</t>
    </r>
  </si>
  <si>
    <r>
      <rPr>
        <sz val="24"/>
        <rFont val="Arial"/>
        <family val="2"/>
      </rPr>
      <t>X</t>
    </r>
    <r>
      <rPr>
        <sz val="24"/>
        <rFont val="Preeti"/>
      </rPr>
      <t>;dfKt</t>
    </r>
    <r>
      <rPr>
        <sz val="24"/>
        <rFont val="Arial"/>
        <family val="2"/>
      </rPr>
      <t>X</t>
    </r>
  </si>
  <si>
    <t>Source Norms for rate Analysis as per Standard Spcification for Road And Bridge works GoN.M.P.P.and Works Department of Road</t>
  </si>
  <si>
    <r>
      <rPr>
        <sz val="14"/>
        <rFont val="Times New Roman"/>
        <family val="1"/>
      </rPr>
      <t>3.5</t>
    </r>
    <r>
      <rPr>
        <b/>
        <sz val="10"/>
        <rFont val="Times New Roman"/>
        <family val="1"/>
      </rPr>
      <t>%</t>
    </r>
    <r>
      <rPr>
        <b/>
        <sz val="10"/>
        <rFont val="Arial"/>
        <family val="2"/>
      </rPr>
      <t xml:space="preserve"> </t>
    </r>
    <r>
      <rPr>
        <b/>
        <sz val="10"/>
        <rFont val="Preeti"/>
      </rPr>
      <t>('jfgL yk ;lxt</t>
    </r>
  </si>
</sst>
</file>

<file path=xl/styles.xml><?xml version="1.0" encoding="utf-8"?>
<styleSheet xmlns="http://schemas.openxmlformats.org/spreadsheetml/2006/main">
  <numFmts count="4">
    <numFmt numFmtId="43" formatCode="_(* #,##0.00_);_(* \(#,##0.00\);_(* &quot;-&quot;??_);_(@_)"/>
    <numFmt numFmtId="164" formatCode="0.0000"/>
    <numFmt numFmtId="165" formatCode="0.000"/>
    <numFmt numFmtId="166" formatCode="0.0"/>
  </numFmts>
  <fonts count="187">
    <font>
      <sz val="10"/>
      <name val="Arial"/>
    </font>
    <font>
      <sz val="11"/>
      <color theme="1"/>
      <name val="Calibri"/>
      <family val="2"/>
      <scheme val="minor"/>
    </font>
    <font>
      <sz val="10"/>
      <name val="Arial"/>
    </font>
    <font>
      <sz val="10"/>
      <name val="Preeti"/>
    </font>
    <font>
      <sz val="12"/>
      <name val="Preeti"/>
    </font>
    <font>
      <sz val="12"/>
      <name val="FONTASY_ HIMALI_ TT"/>
      <family val="5"/>
    </font>
    <font>
      <sz val="9"/>
      <name val="FONTASY_ HIMALI_ TT"/>
      <family val="5"/>
    </font>
    <font>
      <sz val="9"/>
      <name val="Arial"/>
      <family val="2"/>
    </font>
    <font>
      <sz val="8"/>
      <name val="Arial"/>
      <family val="2"/>
    </font>
    <font>
      <sz val="8"/>
      <name val="FONTASY_ HIMALI_ TT"/>
      <family val="5"/>
    </font>
    <font>
      <sz val="16"/>
      <name val="Preeti"/>
    </font>
    <font>
      <sz val="11"/>
      <name val="Preeti"/>
    </font>
    <font>
      <vertAlign val="superscript"/>
      <sz val="16"/>
      <name val="Preeti"/>
    </font>
    <font>
      <vertAlign val="subscript"/>
      <sz val="16"/>
      <name val="Preeti"/>
    </font>
    <font>
      <sz val="16"/>
      <name val="Arial"/>
      <family val="2"/>
    </font>
    <font>
      <sz val="14"/>
      <name val="Preeti"/>
    </font>
    <font>
      <sz val="8"/>
      <name val="Fontasy Himali"/>
      <family val="5"/>
    </font>
    <font>
      <sz val="12"/>
      <name val="Arial"/>
      <family val="2"/>
    </font>
    <font>
      <sz val="10"/>
      <name val="Arial"/>
      <family val="2"/>
    </font>
    <font>
      <sz val="16"/>
      <name val="Sama"/>
      <family val="5"/>
    </font>
    <font>
      <sz val="13"/>
      <name val="Preeti"/>
    </font>
    <font>
      <sz val="10"/>
      <name val="Fontasy Himali"/>
      <family val="5"/>
    </font>
    <font>
      <sz val="10"/>
      <name val="FONTASY_ HIMALI_ TT"/>
      <family val="5"/>
    </font>
    <font>
      <sz val="11"/>
      <name val="Arial"/>
      <family val="2"/>
    </font>
    <font>
      <sz val="11"/>
      <name val="FONTASY_ HIMALI_ TT"/>
      <family val="5"/>
    </font>
    <font>
      <sz val="11"/>
      <name val="Fontasy Himali"/>
      <family val="5"/>
    </font>
    <font>
      <u/>
      <sz val="24"/>
      <name val="Rukmini"/>
    </font>
    <font>
      <sz val="14"/>
      <name val="Kanchan"/>
    </font>
    <font>
      <sz val="6"/>
      <name val="Preeti"/>
    </font>
    <font>
      <sz val="7"/>
      <name val="Preeti"/>
    </font>
    <font>
      <sz val="13"/>
      <name val="FONTASY_ HIMALI_ TT"/>
      <family val="5"/>
    </font>
    <font>
      <vertAlign val="superscript"/>
      <sz val="10"/>
      <color indexed="9"/>
      <name val="FONTASY_ HIMALI_ TT"/>
      <family val="5"/>
    </font>
    <font>
      <sz val="9"/>
      <color indexed="9"/>
      <name val="FONTASY_ HIMALI_ TT"/>
      <family val="5"/>
    </font>
    <font>
      <sz val="8"/>
      <color indexed="9"/>
      <name val="FONTASY_ HIMALI_ TT"/>
      <family val="5"/>
    </font>
    <font>
      <sz val="10"/>
      <color indexed="9"/>
      <name val="FONTASY_ HIMALI_ TT"/>
      <family val="5"/>
    </font>
    <font>
      <sz val="14"/>
      <name val="FONTASY_ HIMALI_ TT"/>
      <family val="5"/>
    </font>
    <font>
      <b/>
      <sz val="11"/>
      <name val="FONTASY_ HIMALI_ TT"/>
      <family val="5"/>
    </font>
    <font>
      <b/>
      <sz val="10"/>
      <name val="FONTASY_ HIMALI_ TT"/>
      <family val="5"/>
    </font>
    <font>
      <sz val="9"/>
      <name val="Preeti"/>
    </font>
    <font>
      <sz val="9"/>
      <name val="Fontasy Himali"/>
      <family val="5"/>
    </font>
    <font>
      <b/>
      <u/>
      <sz val="14"/>
      <name val="Preeti"/>
    </font>
    <font>
      <b/>
      <u/>
      <sz val="10"/>
      <name val="FONTASY_ HIMALI_ TT"/>
      <family val="5"/>
    </font>
    <font>
      <u/>
      <sz val="10"/>
      <name val="Preeti"/>
    </font>
    <font>
      <u/>
      <sz val="10"/>
      <name val="Arial"/>
      <family val="2"/>
    </font>
    <font>
      <sz val="12"/>
      <name val="Arial"/>
    </font>
    <font>
      <sz val="12"/>
      <name val="Wingdings 2"/>
      <family val="1"/>
      <charset val="2"/>
    </font>
    <font>
      <u/>
      <sz val="10"/>
      <color indexed="12"/>
      <name val="Arial"/>
    </font>
    <font>
      <b/>
      <sz val="14"/>
      <name val="FONTASY_ HIMALI_ TT"/>
      <family val="5"/>
    </font>
    <font>
      <sz val="14"/>
      <name val="Arial"/>
      <family val="2"/>
    </font>
    <font>
      <vertAlign val="superscript"/>
      <sz val="14"/>
      <name val="Preeti"/>
    </font>
    <font>
      <vertAlign val="subscript"/>
      <sz val="14"/>
      <name val="Preeti"/>
    </font>
    <font>
      <b/>
      <sz val="13"/>
      <name val="Preeti"/>
    </font>
    <font>
      <sz val="10"/>
      <name val="Sama"/>
      <family val="5"/>
    </font>
    <font>
      <sz val="7"/>
      <name val="Arial"/>
      <family val="2"/>
    </font>
    <font>
      <u/>
      <sz val="11"/>
      <name val="Preeti"/>
    </font>
    <font>
      <sz val="12"/>
      <name val="Times New Roman"/>
      <family val="1"/>
    </font>
    <font>
      <sz val="12"/>
      <name val="Fontasy Himali"/>
      <family val="5"/>
    </font>
    <font>
      <sz val="12"/>
      <color indexed="10"/>
      <name val="FONTASY_ HIMALI_ TT"/>
      <family val="5"/>
    </font>
    <font>
      <sz val="10.5"/>
      <name val="FONTASY_ HIMALI_ TT"/>
      <family val="5"/>
    </font>
    <font>
      <b/>
      <sz val="14"/>
      <color indexed="21"/>
      <name val="FONTASY_ HIMALI_ TT"/>
      <family val="5"/>
    </font>
    <font>
      <b/>
      <sz val="14"/>
      <color indexed="21"/>
      <name val="Arial"/>
      <family val="2"/>
    </font>
    <font>
      <sz val="8"/>
      <name val="Arial"/>
    </font>
    <font>
      <sz val="16"/>
      <color indexed="10"/>
      <name val="Preeti"/>
    </font>
    <font>
      <sz val="13"/>
      <name val="Arial"/>
      <family val="2"/>
    </font>
    <font>
      <i/>
      <sz val="16"/>
      <name val="Preeti"/>
    </font>
    <font>
      <u/>
      <sz val="20"/>
      <name val="Preeti"/>
    </font>
    <font>
      <sz val="20"/>
      <name val="Preeti"/>
    </font>
    <font>
      <b/>
      <sz val="20"/>
      <name val="Arial"/>
      <family val="2"/>
    </font>
    <font>
      <b/>
      <sz val="20"/>
      <name val="Preeti"/>
    </font>
    <font>
      <b/>
      <sz val="14"/>
      <name val="Preeti"/>
    </font>
    <font>
      <sz val="14"/>
      <name val="Arial"/>
    </font>
    <font>
      <b/>
      <sz val="12"/>
      <name val="Preeti"/>
    </font>
    <font>
      <b/>
      <sz val="14"/>
      <name val="Times New Roman"/>
      <family val="1"/>
    </font>
    <font>
      <sz val="10"/>
      <name val="Times New Roman"/>
      <family val="1"/>
    </font>
    <font>
      <b/>
      <sz val="12"/>
      <name val="Times New Roman"/>
      <family val="1"/>
    </font>
    <font>
      <sz val="14"/>
      <name val="Times New Roman"/>
      <family val="1"/>
    </font>
    <font>
      <sz val="11"/>
      <name val="Times New Roman"/>
      <family val="1"/>
    </font>
    <font>
      <sz val="8"/>
      <name val="Times New Roman"/>
      <family val="1"/>
    </font>
    <font>
      <sz val="8"/>
      <name val="Preeti"/>
    </font>
    <font>
      <b/>
      <sz val="13"/>
      <name val="Times New Roman"/>
      <family val="1"/>
    </font>
    <font>
      <sz val="18"/>
      <name val="Preeti"/>
    </font>
    <font>
      <b/>
      <u/>
      <sz val="14"/>
      <name val="Times New Roman"/>
      <family val="1"/>
    </font>
    <font>
      <sz val="7"/>
      <name val="Times New Roman"/>
      <family val="1"/>
    </font>
    <font>
      <sz val="9"/>
      <name val="Times New Roman"/>
      <family val="1"/>
    </font>
    <font>
      <sz val="13"/>
      <name val="Times New Roman"/>
      <family val="1"/>
    </font>
    <font>
      <sz val="10"/>
      <name val="Fontasy Himali"/>
    </font>
    <font>
      <sz val="16"/>
      <name val="Ank-Cast"/>
    </font>
    <font>
      <sz val="15"/>
      <name val="Preeti"/>
    </font>
    <font>
      <b/>
      <sz val="10"/>
      <name val="Times New Roman"/>
      <family val="1"/>
    </font>
    <font>
      <vertAlign val="superscript"/>
      <sz val="12"/>
      <name val="Times New Roman"/>
      <family val="1"/>
    </font>
    <font>
      <vertAlign val="subscript"/>
      <sz val="12"/>
      <name val="Times New Roman"/>
      <family val="1"/>
    </font>
    <font>
      <b/>
      <sz val="11"/>
      <name val="Arial"/>
      <family val="2"/>
    </font>
    <font>
      <b/>
      <sz val="11"/>
      <name val="Times New Roman"/>
      <family val="1"/>
    </font>
    <font>
      <b/>
      <sz val="14"/>
      <name val="Arial"/>
    </font>
    <font>
      <i/>
      <sz val="12"/>
      <name val="Times New Roman"/>
      <family val="1"/>
    </font>
    <font>
      <b/>
      <sz val="8"/>
      <name val="Times New Roman"/>
      <family val="1"/>
    </font>
    <font>
      <i/>
      <sz val="10"/>
      <name val="Times New Roman"/>
      <family val="1"/>
    </font>
    <font>
      <b/>
      <u/>
      <sz val="12"/>
      <name val="Times New Roman"/>
      <family val="1"/>
    </font>
    <font>
      <b/>
      <sz val="12"/>
      <name val="Arial"/>
      <family val="2"/>
    </font>
    <font>
      <u/>
      <sz val="10"/>
      <name val="Times New Roman"/>
      <family val="1"/>
    </font>
    <font>
      <b/>
      <sz val="14"/>
      <name val="Arial"/>
      <family val="2"/>
    </font>
    <font>
      <vertAlign val="superscript"/>
      <sz val="10"/>
      <name val="Arial"/>
      <family val="2"/>
    </font>
    <font>
      <sz val="10"/>
      <color indexed="10"/>
      <name val="FONTASY_ HIMALI_ TT"/>
      <family val="5"/>
    </font>
    <font>
      <sz val="14"/>
      <color indexed="10"/>
      <name val="FONTASY_ HIMALI_ TT"/>
      <family val="5"/>
    </font>
    <font>
      <b/>
      <sz val="14"/>
      <color indexed="10"/>
      <name val="FONTASY_ HIMALI_ TT"/>
      <family val="5"/>
    </font>
    <font>
      <sz val="8"/>
      <color indexed="10"/>
      <name val="FONTASY_ HIMALI_ TT"/>
      <family val="5"/>
    </font>
    <font>
      <b/>
      <u/>
      <sz val="14"/>
      <color indexed="10"/>
      <name val="FONTASY_ HIMALI_ TT"/>
      <family val="5"/>
    </font>
    <font>
      <b/>
      <sz val="10"/>
      <color indexed="10"/>
      <name val="FONTASY_ HIMALI_ TT"/>
      <family val="5"/>
    </font>
    <font>
      <b/>
      <sz val="12"/>
      <color indexed="10"/>
      <name val="FONTASY_ HIMALI_ TT"/>
      <family val="5"/>
    </font>
    <font>
      <sz val="18"/>
      <color indexed="10"/>
      <name val="FONTASY_ HIMALI_ TT"/>
      <family val="5"/>
    </font>
    <font>
      <sz val="16"/>
      <color indexed="10"/>
      <name val="FONTASY_ HIMALI_ TT"/>
      <family val="5"/>
    </font>
    <font>
      <b/>
      <u/>
      <sz val="12"/>
      <color indexed="10"/>
      <name val="FONTASY_ HIMALI_ TT"/>
      <family val="5"/>
    </font>
    <font>
      <b/>
      <sz val="10"/>
      <name val="Arial"/>
      <family val="2"/>
    </font>
    <font>
      <b/>
      <sz val="8"/>
      <name val="Arial"/>
      <family val="2"/>
    </font>
    <font>
      <sz val="12"/>
      <color indexed="10"/>
      <name val="Arial"/>
      <family val="2"/>
    </font>
    <font>
      <sz val="11"/>
      <color indexed="10"/>
      <name val="Arial"/>
      <family val="2"/>
    </font>
    <font>
      <i/>
      <sz val="14"/>
      <name val="Preeti"/>
    </font>
    <font>
      <b/>
      <sz val="12"/>
      <name val="FONTASY_ HIMALI_ TT"/>
      <family val="5"/>
    </font>
    <font>
      <b/>
      <u/>
      <sz val="24"/>
      <name val="Rukmini"/>
    </font>
    <font>
      <sz val="10"/>
      <color indexed="10"/>
      <name val="Arial"/>
      <family val="2"/>
    </font>
    <font>
      <sz val="10"/>
      <color indexed="14"/>
      <name val="Arial"/>
      <family val="2"/>
    </font>
    <font>
      <b/>
      <u/>
      <sz val="10"/>
      <color indexed="14"/>
      <name val="Arial"/>
      <family val="2"/>
    </font>
    <font>
      <vertAlign val="superscript"/>
      <sz val="12"/>
      <color indexed="10"/>
      <name val="Arial"/>
      <family val="2"/>
    </font>
    <font>
      <vertAlign val="superscript"/>
      <sz val="14"/>
      <color indexed="10"/>
      <name val="Arial"/>
      <family val="2"/>
    </font>
    <font>
      <b/>
      <sz val="12"/>
      <color indexed="10"/>
      <name val="Preeti"/>
    </font>
    <font>
      <b/>
      <sz val="10"/>
      <color indexed="10"/>
      <name val="Arial"/>
      <family val="2"/>
    </font>
    <font>
      <b/>
      <u/>
      <sz val="16"/>
      <name val="Arial"/>
      <family val="2"/>
    </font>
    <font>
      <sz val="12"/>
      <color indexed="12"/>
      <name val="FONTASY_ HIMALI_ TT"/>
      <family val="5"/>
    </font>
    <font>
      <sz val="12"/>
      <color indexed="10"/>
      <name val="Preeti"/>
    </font>
    <font>
      <sz val="11"/>
      <color indexed="10"/>
      <name val="Preeti"/>
    </font>
    <font>
      <sz val="13"/>
      <color indexed="10"/>
      <name val="Preeti"/>
    </font>
    <font>
      <sz val="10"/>
      <color indexed="10"/>
      <name val="Fontasy Himali"/>
      <family val="5"/>
    </font>
    <font>
      <sz val="10"/>
      <color indexed="10"/>
      <name val="Arial"/>
    </font>
    <font>
      <sz val="14"/>
      <color indexed="10"/>
      <name val="Preeti"/>
    </font>
    <font>
      <sz val="13"/>
      <color indexed="10"/>
      <name val="FONTASY_ HIMALI_ TT"/>
      <family val="5"/>
    </font>
    <font>
      <vertAlign val="superscript"/>
      <sz val="14"/>
      <color indexed="10"/>
      <name val="Preeti"/>
    </font>
    <font>
      <vertAlign val="subscript"/>
      <sz val="14"/>
      <color indexed="10"/>
      <name val="Preeti"/>
    </font>
    <font>
      <vertAlign val="superscript"/>
      <sz val="16"/>
      <color indexed="10"/>
      <name val="Preeti"/>
    </font>
    <font>
      <vertAlign val="subscript"/>
      <sz val="16"/>
      <color indexed="10"/>
      <name val="Preeti"/>
    </font>
    <font>
      <vertAlign val="superscript"/>
      <sz val="12"/>
      <color indexed="10"/>
      <name val="Preeti"/>
    </font>
    <font>
      <vertAlign val="subscript"/>
      <sz val="12"/>
      <color indexed="10"/>
      <name val="Preeti"/>
    </font>
    <font>
      <sz val="12"/>
      <color indexed="14"/>
      <name val="FONTASY_ HIMALI_ TT"/>
      <family val="5"/>
    </font>
    <font>
      <sz val="12"/>
      <color indexed="14"/>
      <name val="FONTASY_ HIMALI_ TT"/>
      <family val="5"/>
    </font>
    <font>
      <sz val="24"/>
      <name val="Preeti"/>
    </font>
    <font>
      <b/>
      <u/>
      <sz val="18"/>
      <name val="Rukmini"/>
    </font>
    <font>
      <u/>
      <sz val="14"/>
      <name val="Arial"/>
      <family val="2"/>
    </font>
    <font>
      <sz val="10"/>
      <color indexed="63"/>
      <name val="Arial"/>
    </font>
    <font>
      <u/>
      <sz val="14"/>
      <color indexed="63"/>
      <name val="Arial"/>
    </font>
    <font>
      <b/>
      <sz val="10"/>
      <name val="Preeti"/>
    </font>
    <font>
      <sz val="11"/>
      <name val="FONTASY_HIMALI_TT"/>
      <family val="5"/>
    </font>
    <font>
      <sz val="12"/>
      <name val="FONTASY_HIMALI_TT"/>
      <family val="5"/>
    </font>
    <font>
      <sz val="10"/>
      <name val="FONTASY_HIMALI_TT"/>
      <family val="5"/>
    </font>
    <font>
      <sz val="10.5"/>
      <name val="FONTASY_HIMALI_TT"/>
      <family val="5"/>
    </font>
    <font>
      <b/>
      <sz val="10"/>
      <name val="FONTASY_HIMALI_TT"/>
      <family val="5"/>
    </font>
    <font>
      <sz val="8"/>
      <name val="FONTASY_HIMALI_TT"/>
      <family val="5"/>
    </font>
    <font>
      <sz val="12"/>
      <color theme="1"/>
      <name val="FONTASY_ HIMALI_ TT"/>
      <family val="5"/>
    </font>
    <font>
      <sz val="12"/>
      <color rgb="FFFF0000"/>
      <name val="FONTASY_ HIMALI_ TT"/>
      <family val="5"/>
    </font>
    <font>
      <sz val="12"/>
      <name val="Calibri"/>
      <family val="2"/>
      <scheme val="minor"/>
    </font>
    <font>
      <sz val="13"/>
      <name val="Calibri"/>
      <family val="2"/>
      <scheme val="minor"/>
    </font>
    <font>
      <sz val="16"/>
      <color theme="1"/>
      <name val="Preeti"/>
    </font>
    <font>
      <sz val="14"/>
      <color theme="1"/>
      <name val="Preeti"/>
    </font>
    <font>
      <sz val="11"/>
      <color theme="1"/>
      <name val="Preeti"/>
    </font>
    <font>
      <sz val="13"/>
      <color theme="1"/>
      <name val="Preeti"/>
    </font>
    <font>
      <sz val="10"/>
      <name val="Calibri"/>
      <family val="2"/>
      <scheme val="minor"/>
    </font>
    <font>
      <sz val="12"/>
      <color theme="1"/>
      <name val="Preeti"/>
    </font>
    <font>
      <sz val="10"/>
      <color theme="1"/>
      <name val="FONTASY_ HIMALI_ TT"/>
      <family val="5"/>
    </font>
    <font>
      <sz val="10"/>
      <color theme="1"/>
      <name val="Fontasy Himali"/>
      <family val="5"/>
    </font>
    <font>
      <sz val="10"/>
      <color theme="1"/>
      <name val="Arial"/>
      <family val="2"/>
    </font>
    <font>
      <sz val="10"/>
      <color theme="1"/>
      <name val="Preeti"/>
    </font>
    <font>
      <sz val="16"/>
      <color theme="1"/>
      <name val="Arial"/>
      <family val="2"/>
    </font>
    <font>
      <u/>
      <sz val="11"/>
      <color theme="1"/>
      <name val="Preeti"/>
    </font>
    <font>
      <sz val="9"/>
      <color theme="1"/>
      <name val="Arial"/>
      <family val="2"/>
    </font>
    <font>
      <sz val="9"/>
      <name val="FONTASY_HIMALI_TT"/>
      <family val="5"/>
    </font>
    <font>
      <sz val="12"/>
      <name val="HIMALAYA TT FONT"/>
      <family val="5"/>
    </font>
    <font>
      <sz val="10"/>
      <color rgb="FFFF0000"/>
      <name val="FONTASY_ HIMALI_ TT"/>
      <family val="5"/>
    </font>
    <font>
      <sz val="11"/>
      <color rgb="FFFF0000"/>
      <name val="FONTASY_HIMALI_TT"/>
      <family val="5"/>
    </font>
    <font>
      <sz val="10.5"/>
      <name val="Arial"/>
      <family val="2"/>
    </font>
    <font>
      <sz val="11"/>
      <name val="Fantci"/>
    </font>
    <font>
      <sz val="13"/>
      <name val="FONTASY_HIMALI_TT"/>
      <family val="5"/>
    </font>
    <font>
      <b/>
      <sz val="11"/>
      <name val="FONTASY_HIMALI_TT"/>
      <family val="5"/>
    </font>
    <font>
      <sz val="10"/>
      <color theme="0" tint="-0.14999847407452621"/>
      <name val="FONTASY_ HIMALI_ TT"/>
      <family val="5"/>
    </font>
    <font>
      <b/>
      <sz val="9"/>
      <name val="FONTASY_ HIMALI_ TT"/>
      <family val="5"/>
    </font>
    <font>
      <b/>
      <sz val="18"/>
      <name val="Preeti"/>
    </font>
    <font>
      <sz val="15"/>
      <name val="Kanchan"/>
    </font>
    <font>
      <sz val="15"/>
      <name val="Arial"/>
      <family val="2"/>
    </font>
    <font>
      <sz val="24"/>
      <name val="Arial"/>
      <family val="2"/>
    </font>
    <font>
      <sz val="9"/>
      <color indexed="63"/>
      <name val="Arial"/>
      <family val="2"/>
    </font>
  </fonts>
  <fills count="13">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23"/>
        <bgColor indexed="64"/>
      </patternFill>
    </fill>
    <fill>
      <patternFill patternType="solid">
        <fgColor indexed="19"/>
        <bgColor indexed="64"/>
      </patternFill>
    </fill>
    <fill>
      <patternFill patternType="solid">
        <fgColor indexed="55"/>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20"/>
      </left>
      <right style="thin">
        <color indexed="64"/>
      </right>
      <top style="medium">
        <color indexed="20"/>
      </top>
      <bottom style="medium">
        <color indexed="20"/>
      </bottom>
      <diagonal/>
    </border>
    <border>
      <left style="thin">
        <color indexed="64"/>
      </left>
      <right style="medium">
        <color indexed="20"/>
      </right>
      <top style="medium">
        <color indexed="20"/>
      </top>
      <bottom style="medium">
        <color indexed="2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43" fontId="2" fillId="0" borderId="0" applyFont="0" applyFill="0" applyBorder="0" applyAlignment="0" applyProtection="0"/>
    <xf numFmtId="0" fontId="46" fillId="0" borderId="0" applyNumberFormat="0" applyFill="0" applyBorder="0" applyAlignment="0" applyProtection="0">
      <alignment vertical="top"/>
      <protection locked="0"/>
    </xf>
  </cellStyleXfs>
  <cellXfs count="1226">
    <xf numFmtId="0" fontId="0" fillId="0" borderId="0" xfId="0"/>
    <xf numFmtId="0" fontId="4" fillId="0" borderId="0" xfId="0" applyFont="1"/>
    <xf numFmtId="0" fontId="5" fillId="0" borderId="0" xfId="0" applyFont="1"/>
    <xf numFmtId="0" fontId="4" fillId="0" borderId="0" xfId="0" applyFont="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xf>
    <xf numFmtId="0" fontId="6" fillId="0" borderId="1" xfId="0" applyFont="1" applyBorder="1" applyAlignment="1">
      <alignment horizontal="center"/>
    </xf>
    <xf numFmtId="2" fontId="6" fillId="0" borderId="1" xfId="0" applyNumberFormat="1" applyFont="1" applyBorder="1" applyAlignment="1">
      <alignment horizontal="center"/>
    </xf>
    <xf numFmtId="0" fontId="4" fillId="0" borderId="2" xfId="0" applyFont="1" applyBorder="1"/>
    <xf numFmtId="0" fontId="4" fillId="0" borderId="3" xfId="0" applyFont="1" applyBorder="1"/>
    <xf numFmtId="0" fontId="4" fillId="0" borderId="4"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5" xfId="0" applyFont="1" applyBorder="1"/>
    <xf numFmtId="0" fontId="4" fillId="0" borderId="2" xfId="0" applyFont="1" applyBorder="1" applyAlignment="1">
      <alignment horizontal="center" vertical="center" wrapText="1"/>
    </xf>
    <xf numFmtId="0" fontId="4" fillId="0" borderId="4" xfId="0" applyFont="1" applyBorder="1" applyAlignment="1">
      <alignment horizontal="center"/>
    </xf>
    <xf numFmtId="0" fontId="9" fillId="0" borderId="5" xfId="0" applyFont="1" applyBorder="1"/>
    <xf numFmtId="2" fontId="9" fillId="0" borderId="4" xfId="0" applyNumberFormat="1" applyFont="1" applyBorder="1" applyAlignment="1">
      <alignment horizontal="center"/>
    </xf>
    <xf numFmtId="2" fontId="9" fillId="0" borderId="2" xfId="0" applyNumberFormat="1" applyFont="1" applyBorder="1" applyAlignment="1">
      <alignment horizontal="center"/>
    </xf>
    <xf numFmtId="0" fontId="9" fillId="0" borderId="0" xfId="0" applyFont="1" applyBorder="1" applyAlignment="1">
      <alignment horizontal="center"/>
    </xf>
    <xf numFmtId="0" fontId="3" fillId="0" borderId="3" xfId="0" applyFont="1" applyBorder="1" applyAlignment="1">
      <alignment horizontal="center"/>
    </xf>
    <xf numFmtId="0" fontId="3" fillId="0" borderId="3" xfId="0" quotePrefix="1" applyFont="1" applyBorder="1" applyAlignment="1">
      <alignment horizontal="center"/>
    </xf>
    <xf numFmtId="0" fontId="4" fillId="0" borderId="4" xfId="0" quotePrefix="1" applyFont="1" applyBorder="1" applyAlignment="1">
      <alignment horizontal="center"/>
    </xf>
    <xf numFmtId="0" fontId="3" fillId="0" borderId="4" xfId="0" applyFont="1" applyBorder="1" applyAlignment="1">
      <alignment horizontal="center"/>
    </xf>
    <xf numFmtId="0" fontId="11" fillId="0" borderId="3" xfId="0" applyFont="1" applyBorder="1" applyAlignment="1">
      <alignment horizontal="center" vertical="top" wrapText="1"/>
    </xf>
    <xf numFmtId="0" fontId="4" fillId="0" borderId="0" xfId="0" applyFont="1" applyBorder="1" applyAlignment="1">
      <alignment horizontal="center"/>
    </xf>
    <xf numFmtId="0" fontId="4" fillId="0" borderId="5" xfId="0" applyFont="1" applyBorder="1" applyAlignment="1">
      <alignment horizontal="center"/>
    </xf>
    <xf numFmtId="2" fontId="9" fillId="0" borderId="2" xfId="0" applyNumberFormat="1" applyFont="1" applyBorder="1" applyAlignment="1">
      <alignment horizontal="center" vertical="center"/>
    </xf>
    <xf numFmtId="0" fontId="4" fillId="0" borderId="0" xfId="0" applyFont="1" applyAlignment="1">
      <alignment horizontal="right"/>
    </xf>
    <xf numFmtId="165" fontId="9" fillId="0" borderId="4" xfId="0" applyNumberFormat="1" applyFont="1" applyBorder="1" applyAlignment="1">
      <alignment horizontal="center"/>
    </xf>
    <xf numFmtId="165" fontId="9" fillId="0" borderId="3" xfId="0" applyNumberFormat="1" applyFont="1" applyBorder="1" applyAlignment="1">
      <alignment horizontal="center"/>
    </xf>
    <xf numFmtId="0" fontId="4" fillId="0" borderId="0" xfId="0" quotePrefix="1" applyFont="1"/>
    <xf numFmtId="0" fontId="4" fillId="0" borderId="6" xfId="0" applyFont="1" applyBorder="1"/>
    <xf numFmtId="0" fontId="4" fillId="0" borderId="0" xfId="0" applyFont="1" applyBorder="1"/>
    <xf numFmtId="0" fontId="4" fillId="0" borderId="3" xfId="0" applyFont="1" applyBorder="1" applyAlignment="1">
      <alignment horizontal="center" vertical="center" wrapText="1"/>
    </xf>
    <xf numFmtId="0" fontId="4" fillId="0" borderId="4" xfId="0" quotePrefix="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0" xfId="0" applyFont="1" applyAlignment="1">
      <alignment horizontal="center"/>
    </xf>
    <xf numFmtId="0" fontId="4" fillId="0" borderId="7" xfId="0" applyFont="1" applyBorder="1" applyAlignment="1">
      <alignment horizontal="center"/>
    </xf>
    <xf numFmtId="0" fontId="4" fillId="0" borderId="8" xfId="0" applyFont="1" applyBorder="1"/>
    <xf numFmtId="0" fontId="20" fillId="0" borderId="6" xfId="0" applyFont="1" applyBorder="1" applyAlignment="1">
      <alignment horizontal="center"/>
    </xf>
    <xf numFmtId="0" fontId="20" fillId="0" borderId="0" xfId="0" applyFont="1"/>
    <xf numFmtId="2" fontId="21" fillId="0" borderId="2" xfId="0" applyNumberFormat="1" applyFont="1" applyBorder="1" applyAlignment="1">
      <alignment horizontal="center"/>
    </xf>
    <xf numFmtId="2" fontId="21" fillId="0" borderId="3" xfId="0" applyNumberFormat="1" applyFont="1" applyBorder="1" applyAlignment="1">
      <alignment horizontal="center"/>
    </xf>
    <xf numFmtId="2" fontId="21" fillId="0" borderId="4" xfId="0" applyNumberFormat="1" applyFont="1" applyBorder="1" applyAlignment="1">
      <alignment horizontal="center"/>
    </xf>
    <xf numFmtId="2" fontId="21" fillId="0" borderId="1" xfId="0" applyNumberFormat="1" applyFont="1" applyBorder="1" applyAlignment="1">
      <alignment horizontal="center"/>
    </xf>
    <xf numFmtId="1" fontId="21" fillId="0" borderId="2" xfId="0" applyNumberFormat="1" applyFont="1" applyBorder="1" applyAlignment="1">
      <alignment horizontal="center"/>
    </xf>
    <xf numFmtId="165" fontId="21" fillId="0" borderId="2" xfId="0" applyNumberFormat="1" applyFont="1" applyBorder="1" applyAlignment="1">
      <alignment horizontal="center"/>
    </xf>
    <xf numFmtId="166" fontId="21" fillId="0" borderId="4" xfId="0" applyNumberFormat="1" applyFont="1" applyBorder="1" applyAlignment="1">
      <alignment horizontal="center"/>
    </xf>
    <xf numFmtId="166" fontId="21" fillId="0" borderId="2" xfId="0" applyNumberFormat="1" applyFont="1" applyBorder="1" applyAlignment="1">
      <alignment horizontal="center"/>
    </xf>
    <xf numFmtId="165" fontId="21" fillId="0" borderId="4" xfId="0" applyNumberFormat="1" applyFont="1" applyBorder="1" applyAlignment="1">
      <alignment horizontal="center"/>
    </xf>
    <xf numFmtId="1" fontId="21" fillId="0" borderId="3" xfId="0" applyNumberFormat="1" applyFont="1" applyBorder="1" applyAlignment="1">
      <alignment horizontal="center"/>
    </xf>
    <xf numFmtId="1" fontId="21" fillId="0" borderId="4" xfId="0" applyNumberFormat="1" applyFont="1" applyBorder="1" applyAlignment="1">
      <alignment horizontal="center"/>
    </xf>
    <xf numFmtId="165" fontId="21" fillId="0" borderId="3" xfId="0" applyNumberFormat="1" applyFont="1" applyBorder="1" applyAlignment="1">
      <alignment horizontal="center"/>
    </xf>
    <xf numFmtId="0" fontId="20" fillId="0" borderId="3" xfId="0" applyFont="1" applyBorder="1" applyAlignment="1">
      <alignment horizontal="center"/>
    </xf>
    <xf numFmtId="0" fontId="20" fillId="0" borderId="3" xfId="0" quotePrefix="1" applyFont="1" applyBorder="1" applyAlignment="1">
      <alignment horizontal="center"/>
    </xf>
    <xf numFmtId="0" fontId="20" fillId="0" borderId="2" xfId="0" applyFont="1" applyBorder="1" applyAlignment="1">
      <alignment horizontal="center"/>
    </xf>
    <xf numFmtId="0" fontId="20" fillId="0" borderId="4" xfId="0" applyFont="1" applyBorder="1" applyAlignment="1">
      <alignment horizontal="center"/>
    </xf>
    <xf numFmtId="1" fontId="20" fillId="0" borderId="4" xfId="0" applyNumberFormat="1" applyFont="1" applyBorder="1" applyAlignment="1">
      <alignment horizontal="center"/>
    </xf>
    <xf numFmtId="0" fontId="20" fillId="0" borderId="2" xfId="0" applyFont="1" applyBorder="1" applyAlignment="1">
      <alignment horizontal="center" vertical="center" wrapText="1"/>
    </xf>
    <xf numFmtId="1" fontId="22" fillId="0" borderId="4" xfId="0" applyNumberFormat="1" applyFont="1" applyBorder="1" applyAlignment="1">
      <alignment horizontal="center"/>
    </xf>
    <xf numFmtId="0" fontId="20" fillId="0" borderId="3" xfId="0" applyFont="1" applyBorder="1" applyAlignment="1">
      <alignment horizontal="center" vertical="top" wrapText="1"/>
    </xf>
    <xf numFmtId="0" fontId="20" fillId="0" borderId="3" xfId="0" applyFont="1" applyBorder="1" applyAlignment="1">
      <alignment horizontal="center" vertical="top"/>
    </xf>
    <xf numFmtId="0" fontId="20" fillId="0" borderId="4" xfId="0" applyFont="1" applyBorder="1"/>
    <xf numFmtId="2" fontId="22" fillId="0" borderId="4" xfId="0" applyNumberFormat="1" applyFont="1" applyBorder="1" applyAlignment="1">
      <alignment horizontal="center"/>
    </xf>
    <xf numFmtId="0" fontId="20" fillId="0" borderId="1" xfId="0" applyFont="1" applyBorder="1" applyAlignment="1">
      <alignment horizont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applyAlignment="1">
      <alignment horizontal="center"/>
    </xf>
    <xf numFmtId="0" fontId="20" fillId="0" borderId="1" xfId="0" applyFont="1" applyBorder="1" applyAlignment="1">
      <alignment horizontal="center" vertical="center" wrapText="1"/>
    </xf>
    <xf numFmtId="0" fontId="21" fillId="0" borderId="1" xfId="0" applyFont="1" applyBorder="1" applyAlignment="1">
      <alignment horizontal="center"/>
    </xf>
    <xf numFmtId="0" fontId="20" fillId="0" borderId="1" xfId="0" applyFont="1" applyBorder="1"/>
    <xf numFmtId="0" fontId="20" fillId="0" borderId="5" xfId="0" applyFont="1" applyBorder="1"/>
    <xf numFmtId="0" fontId="20" fillId="0" borderId="0" xfId="0" applyFont="1" applyBorder="1" applyAlignment="1">
      <alignment horizontal="center" vertical="center" wrapText="1"/>
    </xf>
    <xf numFmtId="0" fontId="20" fillId="0" borderId="3" xfId="0" applyFont="1" applyBorder="1"/>
    <xf numFmtId="0" fontId="20" fillId="0" borderId="2" xfId="0" applyFont="1" applyBorder="1"/>
    <xf numFmtId="0" fontId="20" fillId="0" borderId="9" xfId="0" quotePrefix="1" applyFont="1" applyBorder="1" applyAlignment="1">
      <alignment horizontal="center"/>
    </xf>
    <xf numFmtId="0" fontId="20" fillId="0" borderId="2" xfId="0" applyFont="1" applyBorder="1" applyAlignment="1">
      <alignment horizontal="center" vertical="center"/>
    </xf>
    <xf numFmtId="2" fontId="20" fillId="0" borderId="4" xfId="0" applyNumberFormat="1" applyFont="1" applyBorder="1" applyAlignment="1">
      <alignment horizontal="center"/>
    </xf>
    <xf numFmtId="0" fontId="20" fillId="0" borderId="4" xfId="0" applyFont="1" applyBorder="1" applyAlignment="1">
      <alignment horizontal="center" vertical="center" wrapText="1"/>
    </xf>
    <xf numFmtId="2" fontId="20" fillId="0" borderId="2" xfId="0" applyNumberFormat="1" applyFont="1" applyBorder="1" applyAlignment="1">
      <alignment horizontal="center"/>
    </xf>
    <xf numFmtId="0" fontId="20" fillId="0" borderId="3" xfId="0" applyFont="1" applyBorder="1" applyAlignment="1">
      <alignment horizontal="center" vertical="center" wrapText="1"/>
    </xf>
    <xf numFmtId="0" fontId="20" fillId="0" borderId="3" xfId="0" quotePrefix="1" applyFont="1" applyBorder="1" applyAlignment="1">
      <alignment horizontal="center" vertical="center" wrapText="1"/>
    </xf>
    <xf numFmtId="0" fontId="20" fillId="0" borderId="4" xfId="0" quotePrefix="1" applyFont="1" applyBorder="1" applyAlignment="1">
      <alignment horizontal="center" vertical="center" wrapText="1"/>
    </xf>
    <xf numFmtId="0" fontId="7" fillId="0" borderId="3" xfId="0" applyFont="1" applyBorder="1" applyAlignment="1">
      <alignment horizontal="center" vertical="center" wrapText="1"/>
    </xf>
    <xf numFmtId="2" fontId="21" fillId="0" borderId="2" xfId="0" applyNumberFormat="1" applyFont="1" applyBorder="1" applyAlignment="1">
      <alignment horizontal="center" vertical="center"/>
    </xf>
    <xf numFmtId="2" fontId="21" fillId="0" borderId="2" xfId="0" applyNumberFormat="1" applyFont="1" applyBorder="1" applyAlignment="1">
      <alignment horizontal="center" vertical="center" wrapText="1"/>
    </xf>
    <xf numFmtId="2" fontId="21" fillId="0" borderId="3" xfId="0" applyNumberFormat="1" applyFont="1" applyBorder="1" applyAlignment="1">
      <alignment horizontal="center" vertical="center"/>
    </xf>
    <xf numFmtId="2" fontId="21" fillId="0" borderId="4" xfId="0" applyNumberFormat="1" applyFont="1" applyBorder="1" applyAlignment="1">
      <alignment horizontal="center" vertical="center"/>
    </xf>
    <xf numFmtId="0" fontId="21" fillId="0" borderId="0" xfId="0" applyFont="1" applyBorder="1" applyAlignment="1">
      <alignment horizontal="center"/>
    </xf>
    <xf numFmtId="0" fontId="21" fillId="0" borderId="0" xfId="0" applyFont="1"/>
    <xf numFmtId="0" fontId="4" fillId="0" borderId="8" xfId="0" applyFont="1" applyBorder="1" applyAlignment="1">
      <alignment horizontal="center"/>
    </xf>
    <xf numFmtId="0" fontId="16" fillId="0" borderId="0" xfId="0" applyFont="1" applyBorder="1" applyAlignment="1">
      <alignment horizontal="center"/>
    </xf>
    <xf numFmtId="0" fontId="22" fillId="0" borderId="0" xfId="0" applyFont="1"/>
    <xf numFmtId="0" fontId="15" fillId="0" borderId="0" xfId="0" applyFont="1"/>
    <xf numFmtId="0" fontId="22" fillId="0" borderId="1" xfId="0" applyFont="1" applyBorder="1" applyAlignment="1">
      <alignment horizontal="center"/>
    </xf>
    <xf numFmtId="0" fontId="20" fillId="0" borderId="9" xfId="0" quotePrefix="1" applyFont="1" applyBorder="1" applyAlignment="1">
      <alignment horizontal="left"/>
    </xf>
    <xf numFmtId="0" fontId="20" fillId="0" borderId="5" xfId="0" quotePrefix="1" applyFont="1" applyBorder="1" applyAlignment="1">
      <alignment horizontal="left"/>
    </xf>
    <xf numFmtId="0" fontId="0" fillId="0" borderId="0" xfId="0" applyAlignment="1">
      <alignment horizontal="center"/>
    </xf>
    <xf numFmtId="0" fontId="18" fillId="0" borderId="0" xfId="0" applyFont="1"/>
    <xf numFmtId="0" fontId="25" fillId="0" borderId="0" xfId="0" applyFont="1" applyAlignment="1">
      <alignment horizontal="center"/>
    </xf>
    <xf numFmtId="0" fontId="20" fillId="0" borderId="10" xfId="0" applyFont="1" applyBorder="1" applyAlignment="1">
      <alignment horizontal="center"/>
    </xf>
    <xf numFmtId="2" fontId="22" fillId="0" borderId="1" xfId="0" applyNumberFormat="1" applyFont="1" applyBorder="1" applyAlignment="1">
      <alignment horizontal="center"/>
    </xf>
    <xf numFmtId="2" fontId="6" fillId="0" borderId="1" xfId="0" applyNumberFormat="1" applyFont="1" applyBorder="1" applyAlignment="1">
      <alignment horizontal="center" vertical="center"/>
    </xf>
    <xf numFmtId="2" fontId="22" fillId="0" borderId="1" xfId="0" applyNumberFormat="1" applyFont="1" applyBorder="1" applyAlignment="1">
      <alignment horizontal="center" vertical="center" wrapText="1"/>
    </xf>
    <xf numFmtId="0" fontId="30" fillId="0" borderId="0" xfId="0" applyFont="1"/>
    <xf numFmtId="2" fontId="22" fillId="0" borderId="0" xfId="0" applyNumberFormat="1" applyFont="1"/>
    <xf numFmtId="164" fontId="3" fillId="0" borderId="11" xfId="0" applyNumberFormat="1" applyFont="1" applyBorder="1"/>
    <xf numFmtId="164" fontId="3" fillId="0" borderId="5" xfId="0" applyNumberFormat="1" applyFont="1" applyBorder="1"/>
    <xf numFmtId="0" fontId="3" fillId="0" borderId="0" xfId="0" applyFont="1"/>
    <xf numFmtId="2" fontId="22" fillId="0" borderId="2" xfId="0" applyNumberFormat="1" applyFont="1" applyBorder="1" applyAlignment="1">
      <alignment horizontal="center" vertical="center" wrapText="1"/>
    </xf>
    <xf numFmtId="2" fontId="22" fillId="0" borderId="2" xfId="0" applyNumberFormat="1" applyFont="1" applyBorder="1" applyAlignment="1">
      <alignment horizontal="center" vertical="center"/>
    </xf>
    <xf numFmtId="2" fontId="22" fillId="0" borderId="3" xfId="0" applyNumberFormat="1" applyFont="1" applyBorder="1" applyAlignment="1">
      <alignment horizontal="center"/>
    </xf>
    <xf numFmtId="2" fontId="22" fillId="0" borderId="2" xfId="0" applyNumberFormat="1" applyFont="1" applyBorder="1" applyAlignment="1">
      <alignment horizontal="center"/>
    </xf>
    <xf numFmtId="0" fontId="22" fillId="0" borderId="4" xfId="0" applyFont="1" applyBorder="1" applyAlignment="1">
      <alignment horizontal="center"/>
    </xf>
    <xf numFmtId="2" fontId="9" fillId="0" borderId="11" xfId="0" applyNumberFormat="1" applyFont="1" applyBorder="1" applyAlignment="1">
      <alignment horizontal="center" vertical="center" wrapText="1"/>
    </xf>
    <xf numFmtId="2" fontId="20" fillId="0" borderId="0" xfId="0" applyNumberFormat="1" applyFont="1"/>
    <xf numFmtId="166" fontId="31" fillId="0" borderId="8" xfId="0" applyNumberFormat="1" applyFont="1" applyBorder="1" applyAlignment="1">
      <alignment horizontal="center" vertical="center" wrapText="1"/>
    </xf>
    <xf numFmtId="2" fontId="20" fillId="0" borderId="0" xfId="0" applyNumberFormat="1" applyFont="1" applyAlignment="1">
      <alignment horizontal="center"/>
    </xf>
    <xf numFmtId="2" fontId="22" fillId="0" borderId="3" xfId="0" applyNumberFormat="1" applyFont="1" applyBorder="1" applyAlignment="1">
      <alignment horizontal="center" vertical="center" wrapText="1"/>
    </xf>
    <xf numFmtId="0" fontId="22" fillId="0" borderId="0" xfId="0" applyFont="1" applyAlignment="1">
      <alignment horizontal="center"/>
    </xf>
    <xf numFmtId="2" fontId="32" fillId="0" borderId="12" xfId="0" quotePrefix="1" applyNumberFormat="1" applyFont="1" applyBorder="1" applyAlignment="1">
      <alignment horizontal="left"/>
    </xf>
    <xf numFmtId="0" fontId="34" fillId="0" borderId="0" xfId="0" applyFont="1" applyAlignment="1">
      <alignment horizontal="center"/>
    </xf>
    <xf numFmtId="0" fontId="34" fillId="0" borderId="11" xfId="0" applyFont="1" applyBorder="1" applyAlignment="1">
      <alignment horizontal="center"/>
    </xf>
    <xf numFmtId="2" fontId="22" fillId="0" borderId="3" xfId="0" applyNumberFormat="1" applyFont="1" applyBorder="1" applyAlignment="1">
      <alignment horizontal="center" vertical="center"/>
    </xf>
    <xf numFmtId="2" fontId="22" fillId="0" borderId="4" xfId="0" applyNumberFormat="1" applyFont="1" applyBorder="1" applyAlignment="1">
      <alignment horizontal="center" vertical="center" wrapText="1"/>
    </xf>
    <xf numFmtId="2" fontId="22" fillId="0" borderId="4" xfId="0" applyNumberFormat="1" applyFont="1" applyBorder="1" applyAlignment="1">
      <alignment horizontal="center" vertical="center"/>
    </xf>
    <xf numFmtId="2" fontId="22" fillId="0" borderId="8" xfId="0" applyNumberFormat="1" applyFont="1" applyBorder="1" applyAlignment="1">
      <alignment horizontal="center"/>
    </xf>
    <xf numFmtId="2" fontId="22" fillId="0" borderId="12" xfId="0" applyNumberFormat="1" applyFont="1" applyBorder="1" applyAlignment="1">
      <alignment horizontal="center"/>
    </xf>
    <xf numFmtId="2" fontId="22" fillId="0" borderId="1" xfId="0" applyNumberFormat="1" applyFont="1" applyBorder="1" applyAlignment="1">
      <alignment horizontal="center" vertical="center"/>
    </xf>
    <xf numFmtId="0" fontId="4" fillId="0" borderId="13" xfId="0" applyFont="1" applyBorder="1"/>
    <xf numFmtId="0" fontId="4" fillId="0" borderId="14" xfId="0" applyFont="1" applyBorder="1"/>
    <xf numFmtId="0" fontId="20" fillId="0" borderId="7" xfId="0" applyFont="1" applyBorder="1" applyAlignment="1">
      <alignment horizontal="center"/>
    </xf>
    <xf numFmtId="0" fontId="22" fillId="0" borderId="0" xfId="0" applyFont="1" applyBorder="1" applyAlignment="1">
      <alignment horizontal="center"/>
    </xf>
    <xf numFmtId="0" fontId="30" fillId="0" borderId="13" xfId="0" applyFont="1" applyBorder="1"/>
    <xf numFmtId="0" fontId="5" fillId="0" borderId="2" xfId="0" applyFont="1" applyBorder="1"/>
    <xf numFmtId="0" fontId="5" fillId="0" borderId="3" xfId="0" applyFont="1" applyBorder="1"/>
    <xf numFmtId="2" fontId="30" fillId="0" borderId="0" xfId="0" applyNumberFormat="1" applyFont="1"/>
    <xf numFmtId="0" fontId="21" fillId="0" borderId="8" xfId="0" applyFont="1" applyBorder="1" applyAlignment="1">
      <alignment horizontal="center"/>
    </xf>
    <xf numFmtId="0" fontId="20" fillId="0" borderId="4" xfId="0" quotePrefix="1" applyFont="1" applyBorder="1" applyAlignment="1">
      <alignment horizontal="center"/>
    </xf>
    <xf numFmtId="0" fontId="11" fillId="0" borderId="3" xfId="0" quotePrefix="1" applyFont="1" applyBorder="1" applyAlignment="1">
      <alignment horizontal="center"/>
    </xf>
    <xf numFmtId="0" fontId="10" fillId="0" borderId="0" xfId="0" quotePrefix="1" applyFont="1" applyAlignment="1">
      <alignment horizontal="center"/>
    </xf>
    <xf numFmtId="0" fontId="22" fillId="0" borderId="4" xfId="0" applyNumberFormat="1" applyFont="1" applyBorder="1" applyAlignment="1">
      <alignment horizontal="center"/>
    </xf>
    <xf numFmtId="0" fontId="22" fillId="0" borderId="1" xfId="0" applyNumberFormat="1" applyFont="1" applyBorder="1" applyAlignment="1">
      <alignment horizontal="center"/>
    </xf>
    <xf numFmtId="1" fontId="22" fillId="0" borderId="2" xfId="0" applyNumberFormat="1" applyFont="1" applyBorder="1" applyAlignment="1">
      <alignment horizontal="center"/>
    </xf>
    <xf numFmtId="0" fontId="5" fillId="0" borderId="0" xfId="0" applyFont="1" applyAlignment="1">
      <alignment horizontal="center"/>
    </xf>
    <xf numFmtId="2" fontId="22" fillId="0" borderId="6" xfId="0" applyNumberFormat="1" applyFont="1" applyBorder="1" applyAlignment="1">
      <alignment horizontal="center"/>
    </xf>
    <xf numFmtId="0" fontId="22" fillId="0" borderId="0" xfId="0" applyFont="1" applyAlignment="1">
      <alignment horizontal="right"/>
    </xf>
    <xf numFmtId="0" fontId="21" fillId="0" borderId="0" xfId="0" applyFont="1" applyAlignment="1">
      <alignment horizontal="center"/>
    </xf>
    <xf numFmtId="0" fontId="24" fillId="0" borderId="0" xfId="0" applyFont="1" applyAlignment="1">
      <alignment horizontal="center"/>
    </xf>
    <xf numFmtId="2" fontId="22" fillId="0" borderId="0" xfId="0" applyNumberFormat="1" applyFont="1" applyBorder="1" applyAlignment="1">
      <alignment horizontal="center"/>
    </xf>
    <xf numFmtId="0" fontId="36" fillId="0" borderId="0" xfId="0" applyFont="1" applyAlignment="1">
      <alignment horizontal="right"/>
    </xf>
    <xf numFmtId="2" fontId="37" fillId="0" borderId="0" xfId="0" applyNumberFormat="1" applyFont="1"/>
    <xf numFmtId="0" fontId="37" fillId="0" borderId="0" xfId="0" applyFont="1" applyAlignment="1">
      <alignment horizontal="center"/>
    </xf>
    <xf numFmtId="0" fontId="37" fillId="0" borderId="0" xfId="0" quotePrefix="1" applyFont="1" applyAlignment="1">
      <alignment horizontal="center"/>
    </xf>
    <xf numFmtId="0" fontId="4" fillId="0" borderId="7" xfId="0" applyFont="1" applyBorder="1"/>
    <xf numFmtId="2" fontId="21" fillId="0" borderId="0" xfId="0" applyNumberFormat="1" applyFont="1" applyAlignment="1">
      <alignment horizontal="center"/>
    </xf>
    <xf numFmtId="0" fontId="10" fillId="0" borderId="0" xfId="0" quotePrefix="1" applyFont="1" applyBorder="1" applyAlignment="1">
      <alignment horizontal="center"/>
    </xf>
    <xf numFmtId="0" fontId="11" fillId="0" borderId="0" xfId="0" applyFont="1"/>
    <xf numFmtId="2" fontId="6" fillId="0" borderId="6" xfId="0" applyNumberFormat="1" applyFont="1" applyBorder="1" applyAlignment="1">
      <alignment horizontal="center"/>
    </xf>
    <xf numFmtId="2" fontId="39" fillId="0" borderId="0" xfId="0" applyNumberFormat="1" applyFont="1" applyAlignment="1">
      <alignment horizontal="center"/>
    </xf>
    <xf numFmtId="0" fontId="20" fillId="0" borderId="9" xfId="0" applyFont="1" applyBorder="1" applyAlignment="1">
      <alignment horizontal="center"/>
    </xf>
    <xf numFmtId="0" fontId="9" fillId="0" borderId="11" xfId="0" applyFont="1" applyBorder="1" applyAlignment="1">
      <alignment horizontal="center"/>
    </xf>
    <xf numFmtId="2" fontId="22" fillId="0" borderId="11" xfId="0" applyNumberFormat="1" applyFont="1" applyBorder="1" applyAlignment="1">
      <alignment horizontal="center"/>
    </xf>
    <xf numFmtId="2" fontId="22" fillId="0" borderId="4" xfId="0" applyNumberFormat="1" applyFont="1" applyBorder="1" applyAlignment="1">
      <alignment horizontal="center" vertical="top"/>
    </xf>
    <xf numFmtId="2" fontId="21" fillId="0" borderId="2" xfId="0" applyNumberFormat="1" applyFont="1" applyBorder="1" applyAlignment="1">
      <alignment horizontal="center" vertical="top"/>
    </xf>
    <xf numFmtId="2" fontId="22" fillId="0" borderId="2" xfId="0" applyNumberFormat="1" applyFont="1" applyBorder="1" applyAlignment="1">
      <alignment horizontal="center" wrapText="1"/>
    </xf>
    <xf numFmtId="2" fontId="22" fillId="0" borderId="3" xfId="0" applyNumberFormat="1" applyFont="1" applyBorder="1" applyAlignment="1">
      <alignment horizontal="center" wrapText="1"/>
    </xf>
    <xf numFmtId="0" fontId="20" fillId="0" borderId="2" xfId="0" applyFont="1" applyBorder="1" applyAlignment="1">
      <alignment horizontal="center" wrapText="1"/>
    </xf>
    <xf numFmtId="2" fontId="22" fillId="0" borderId="4" xfId="0" applyNumberFormat="1" applyFont="1" applyBorder="1" applyAlignment="1">
      <alignment horizontal="center" wrapText="1"/>
    </xf>
    <xf numFmtId="0" fontId="40" fillId="0" borderId="0" xfId="0" applyFont="1" applyAlignment="1">
      <alignment horizontal="center"/>
    </xf>
    <xf numFmtId="0" fontId="42" fillId="0" borderId="0" xfId="0" quotePrefix="1" applyFont="1"/>
    <xf numFmtId="2" fontId="6" fillId="0" borderId="2" xfId="0" applyNumberFormat="1" applyFont="1" applyBorder="1" applyAlignment="1">
      <alignment horizontal="center" vertical="center" wrapText="1"/>
    </xf>
    <xf numFmtId="2" fontId="6" fillId="0" borderId="3" xfId="0" applyNumberFormat="1" applyFont="1" applyBorder="1" applyAlignment="1">
      <alignment horizontal="center"/>
    </xf>
    <xf numFmtId="2" fontId="6" fillId="0" borderId="2" xfId="0" applyNumberFormat="1" applyFont="1" applyBorder="1" applyAlignment="1">
      <alignment horizontal="center"/>
    </xf>
    <xf numFmtId="2" fontId="6" fillId="0" borderId="4" xfId="0" applyNumberFormat="1" applyFont="1" applyBorder="1" applyAlignment="1">
      <alignment horizontal="center"/>
    </xf>
    <xf numFmtId="2" fontId="6" fillId="0" borderId="3" xfId="0" applyNumberFormat="1" applyFont="1" applyBorder="1" applyAlignment="1">
      <alignment horizontal="center" vertical="center"/>
    </xf>
    <xf numFmtId="2" fontId="6" fillId="0" borderId="2" xfId="0" applyNumberFormat="1" applyFont="1" applyBorder="1" applyAlignment="1">
      <alignment horizontal="center" vertical="center"/>
    </xf>
    <xf numFmtId="0" fontId="38" fillId="0" borderId="3" xfId="0" applyFont="1" applyBorder="1"/>
    <xf numFmtId="2" fontId="6" fillId="0" borderId="4" xfId="0" applyNumberFormat="1" applyFont="1" applyBorder="1" applyAlignment="1">
      <alignment horizontal="center" vertical="center"/>
    </xf>
    <xf numFmtId="0" fontId="8" fillId="0" borderId="3" xfId="0" applyFont="1" applyBorder="1" applyAlignment="1">
      <alignment horizontal="center" vertical="top" wrapText="1"/>
    </xf>
    <xf numFmtId="0" fontId="6" fillId="0" borderId="0" xfId="0" applyFont="1" applyAlignment="1">
      <alignment horizontal="center"/>
    </xf>
    <xf numFmtId="0" fontId="11" fillId="0" borderId="2" xfId="0" applyFont="1" applyBorder="1" applyAlignment="1">
      <alignment horizontal="center"/>
    </xf>
    <xf numFmtId="0" fontId="11" fillId="0" borderId="4" xfId="0" applyFont="1" applyBorder="1" applyAlignment="1">
      <alignment horizontal="center"/>
    </xf>
    <xf numFmtId="2" fontId="6" fillId="0" borderId="0" xfId="0" applyNumberFormat="1" applyFont="1" applyAlignment="1">
      <alignment horizontal="center"/>
    </xf>
    <xf numFmtId="0" fontId="45" fillId="0" borderId="0" xfId="0" applyFont="1" applyAlignment="1">
      <alignment horizontal="left" vertical="center"/>
    </xf>
    <xf numFmtId="0" fontId="6" fillId="0" borderId="1" xfId="1" applyNumberFormat="1" applyFont="1" applyBorder="1" applyAlignment="1">
      <alignment horizontal="center"/>
    </xf>
    <xf numFmtId="0" fontId="17" fillId="0" borderId="0" xfId="0" applyFont="1"/>
    <xf numFmtId="1" fontId="21" fillId="0" borderId="2" xfId="0" applyNumberFormat="1"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xf numFmtId="0" fontId="47" fillId="0" borderId="0" xfId="0" applyFont="1" applyAlignment="1">
      <alignment horizontal="center"/>
    </xf>
    <xf numFmtId="2" fontId="22" fillId="0" borderId="15" xfId="0" applyNumberFormat="1" applyFont="1" applyBorder="1" applyAlignment="1">
      <alignment horizontal="center" vertical="center" wrapText="1"/>
    </xf>
    <xf numFmtId="2" fontId="22" fillId="0" borderId="10" xfId="0" applyNumberFormat="1" applyFont="1" applyBorder="1" applyAlignment="1">
      <alignment horizontal="center"/>
    </xf>
    <xf numFmtId="2" fontId="22" fillId="0" borderId="15" xfId="0" applyNumberFormat="1" applyFont="1" applyBorder="1" applyAlignment="1">
      <alignment horizontal="center"/>
    </xf>
    <xf numFmtId="2" fontId="22" fillId="0" borderId="13" xfId="0" applyNumberFormat="1" applyFont="1" applyBorder="1" applyAlignment="1">
      <alignment horizontal="center"/>
    </xf>
    <xf numFmtId="2" fontId="22" fillId="0" borderId="12" xfId="0" applyNumberFormat="1" applyFont="1" applyBorder="1" applyAlignment="1">
      <alignment horizontal="center" vertical="center" wrapText="1"/>
    </xf>
    <xf numFmtId="2" fontId="22" fillId="0" borderId="14" xfId="0" applyNumberFormat="1" applyFont="1" applyBorder="1" applyAlignment="1">
      <alignment horizontal="center" vertical="center" wrapText="1"/>
    </xf>
    <xf numFmtId="2" fontId="22" fillId="0" borderId="14" xfId="0" applyNumberFormat="1" applyFont="1" applyBorder="1" applyAlignment="1">
      <alignment horizontal="center"/>
    </xf>
    <xf numFmtId="2" fontId="33" fillId="0" borderId="14" xfId="0" applyNumberFormat="1" applyFont="1" applyBorder="1" applyAlignment="1">
      <alignment horizontal="center"/>
    </xf>
    <xf numFmtId="2" fontId="22" fillId="0" borderId="12" xfId="0" applyNumberFormat="1" applyFont="1" applyBorder="1" applyAlignment="1">
      <alignment horizontal="center" vertical="center"/>
    </xf>
    <xf numFmtId="2" fontId="22" fillId="0" borderId="14" xfId="0" applyNumberFormat="1" applyFont="1"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vertical="center"/>
    </xf>
    <xf numFmtId="0" fontId="20" fillId="0" borderId="0" xfId="0" applyFont="1" applyBorder="1" applyAlignment="1">
      <alignment horizontal="center" vertical="center"/>
    </xf>
    <xf numFmtId="166" fontId="21" fillId="0" borderId="0" xfId="0" applyNumberFormat="1" applyFont="1" applyBorder="1" applyAlignment="1">
      <alignment horizontal="center" vertical="center"/>
    </xf>
    <xf numFmtId="0" fontId="20" fillId="0" borderId="2" xfId="0" quotePrefix="1" applyFont="1" applyBorder="1" applyAlignment="1">
      <alignment horizontal="center" vertical="center" wrapText="1"/>
    </xf>
    <xf numFmtId="0" fontId="45" fillId="0" borderId="0" xfId="0" applyFont="1" applyAlignment="1">
      <alignment horizontal="center" vertical="center"/>
    </xf>
    <xf numFmtId="2" fontId="21" fillId="0" borderId="0" xfId="0" applyNumberFormat="1" applyFont="1" applyBorder="1" applyAlignment="1">
      <alignment horizontal="center"/>
    </xf>
    <xf numFmtId="164" fontId="21" fillId="0" borderId="2" xfId="0" applyNumberFormat="1" applyFont="1" applyBorder="1" applyAlignment="1">
      <alignment horizontal="center"/>
    </xf>
    <xf numFmtId="166" fontId="21" fillId="0" borderId="3" xfId="0" applyNumberFormat="1" applyFont="1" applyBorder="1" applyAlignment="1">
      <alignment horizontal="center"/>
    </xf>
    <xf numFmtId="0" fontId="4" fillId="0" borderId="0" xfId="0" quotePrefix="1" applyFont="1" applyBorder="1" applyAlignment="1">
      <alignment horizontal="center"/>
    </xf>
    <xf numFmtId="0" fontId="20" fillId="0" borderId="2" xfId="0" applyFont="1" applyBorder="1" applyAlignment="1">
      <alignment horizontal="center" vertical="top" wrapText="1"/>
    </xf>
    <xf numFmtId="2" fontId="9" fillId="0" borderId="3" xfId="0" applyNumberFormat="1" applyFont="1" applyBorder="1"/>
    <xf numFmtId="0" fontId="20" fillId="0" borderId="4" xfId="0" applyFont="1" applyBorder="1" applyAlignment="1">
      <alignment horizontal="center" vertical="top" wrapText="1"/>
    </xf>
    <xf numFmtId="0" fontId="20" fillId="0" borderId="4" xfId="0" applyFont="1" applyBorder="1" applyAlignment="1">
      <alignment horizontal="center" vertical="top"/>
    </xf>
    <xf numFmtId="0" fontId="20" fillId="0" borderId="3" xfId="0" applyFont="1" applyBorder="1" applyAlignment="1">
      <alignment horizontal="center" vertical="center"/>
    </xf>
    <xf numFmtId="166" fontId="21" fillId="0" borderId="2" xfId="0" applyNumberFormat="1" applyFont="1" applyBorder="1" applyAlignment="1">
      <alignment horizontal="center" vertical="center"/>
    </xf>
    <xf numFmtId="166" fontId="21" fillId="0" borderId="4" xfId="0" applyNumberFormat="1" applyFont="1" applyBorder="1" applyAlignment="1">
      <alignment horizontal="center" vertical="center"/>
    </xf>
    <xf numFmtId="0" fontId="4" fillId="0" borderId="6" xfId="0" applyFont="1" applyBorder="1" applyAlignment="1">
      <alignment horizontal="center"/>
    </xf>
    <xf numFmtId="0" fontId="20" fillId="0" borderId="5" xfId="0" applyFont="1" applyBorder="1" applyAlignment="1">
      <alignment horizontal="center" vertical="center" wrapText="1"/>
    </xf>
    <xf numFmtId="0" fontId="4" fillId="0" borderId="0" xfId="0" applyFont="1" applyBorder="1" applyAlignment="1">
      <alignment horizontal="right"/>
    </xf>
    <xf numFmtId="0" fontId="23" fillId="0" borderId="0" xfId="0" applyFont="1" applyBorder="1" applyAlignment="1">
      <alignment horizontal="center"/>
    </xf>
    <xf numFmtId="0" fontId="11" fillId="0" borderId="3" xfId="0" applyFont="1" applyBorder="1" applyAlignment="1">
      <alignment horizontal="center" vertical="center" wrapText="1"/>
    </xf>
    <xf numFmtId="2" fontId="22" fillId="0" borderId="7" xfId="0" applyNumberFormat="1" applyFont="1" applyBorder="1" applyAlignment="1">
      <alignment horizontal="center"/>
    </xf>
    <xf numFmtId="0" fontId="11" fillId="0" borderId="3" xfId="0" quotePrefix="1" applyFont="1" applyBorder="1" applyAlignment="1">
      <alignment horizontal="center" vertical="center" wrapText="1"/>
    </xf>
    <xf numFmtId="0" fontId="0" fillId="0" borderId="9" xfId="0" applyBorder="1" applyAlignment="1">
      <alignment horizontal="center" vertical="center" wrapText="1"/>
    </xf>
    <xf numFmtId="1" fontId="21" fillId="0" borderId="5" xfId="0" applyNumberFormat="1" applyFont="1" applyBorder="1" applyAlignment="1">
      <alignment horizontal="center"/>
    </xf>
    <xf numFmtId="0" fontId="20" fillId="0" borderId="5" xfId="0" applyFont="1" applyBorder="1" applyAlignment="1">
      <alignment horizontal="center"/>
    </xf>
    <xf numFmtId="2" fontId="4" fillId="0" borderId="5" xfId="0" applyNumberFormat="1" applyFont="1" applyBorder="1" applyAlignment="1">
      <alignment horizontal="center" vertical="center" wrapText="1"/>
    </xf>
    <xf numFmtId="2" fontId="5" fillId="0" borderId="11" xfId="0" applyNumberFormat="1" applyFont="1" applyBorder="1" applyAlignment="1">
      <alignment horizontal="center"/>
    </xf>
    <xf numFmtId="0" fontId="20" fillId="0" borderId="13" xfId="0" applyFont="1" applyBorder="1" applyAlignment="1">
      <alignment horizontal="center" vertical="top"/>
    </xf>
    <xf numFmtId="0" fontId="4" fillId="0" borderId="0" xfId="0" quotePrefix="1" applyFont="1" applyAlignment="1">
      <alignment horizontal="right"/>
    </xf>
    <xf numFmtId="2" fontId="21" fillId="0" borderId="8" xfId="0" applyNumberFormat="1" applyFont="1" applyBorder="1" applyAlignment="1">
      <alignment horizontal="center"/>
    </xf>
    <xf numFmtId="1" fontId="21" fillId="0" borderId="8" xfId="0" applyNumberFormat="1" applyFont="1" applyBorder="1" applyAlignment="1">
      <alignment horizontal="center"/>
    </xf>
    <xf numFmtId="1" fontId="21" fillId="0" borderId="0" xfId="0" applyNumberFormat="1" applyFont="1" applyBorder="1" applyAlignment="1">
      <alignment horizontal="center"/>
    </xf>
    <xf numFmtId="2" fontId="9" fillId="0" borderId="2" xfId="0" applyNumberFormat="1" applyFont="1" applyBorder="1" applyAlignment="1">
      <alignment horizontal="center" vertical="center" wrapText="1"/>
    </xf>
    <xf numFmtId="2" fontId="22" fillId="0" borderId="4" xfId="0" applyNumberFormat="1" applyFont="1" applyBorder="1"/>
    <xf numFmtId="165" fontId="21" fillId="0" borderId="2" xfId="0" applyNumberFormat="1" applyFont="1" applyBorder="1" applyAlignment="1">
      <alignment horizontal="center" vertical="center"/>
    </xf>
    <xf numFmtId="2" fontId="22" fillId="0" borderId="3" xfId="0" applyNumberFormat="1" applyFont="1" applyBorder="1"/>
    <xf numFmtId="1" fontId="22" fillId="0" borderId="8" xfId="0" applyNumberFormat="1" applyFont="1" applyBorder="1" applyAlignment="1">
      <alignment horizontal="center"/>
    </xf>
    <xf numFmtId="1" fontId="22" fillId="0" borderId="0" xfId="0" applyNumberFormat="1" applyFont="1" applyBorder="1" applyAlignment="1">
      <alignment horizontal="center"/>
    </xf>
    <xf numFmtId="0" fontId="20" fillId="0" borderId="2" xfId="0" quotePrefix="1" applyFont="1" applyBorder="1" applyAlignment="1">
      <alignment horizontal="center"/>
    </xf>
    <xf numFmtId="2" fontId="22" fillId="0" borderId="3" xfId="0" applyNumberFormat="1" applyFont="1" applyBorder="1" applyAlignment="1">
      <alignment horizontal="right"/>
    </xf>
    <xf numFmtId="2" fontId="22" fillId="0" borderId="4" xfId="0" applyNumberFormat="1" applyFont="1" applyBorder="1" applyAlignment="1">
      <alignment horizontal="right"/>
    </xf>
    <xf numFmtId="2" fontId="22" fillId="0" borderId="4" xfId="0" applyNumberFormat="1" applyFont="1" applyBorder="1" applyAlignment="1">
      <alignment horizontal="right" vertical="center" wrapText="1"/>
    </xf>
    <xf numFmtId="2" fontId="22" fillId="0" borderId="1" xfId="0" applyNumberFormat="1" applyFont="1" applyBorder="1" applyAlignment="1">
      <alignment horizontal="right"/>
    </xf>
    <xf numFmtId="2" fontId="22" fillId="0" borderId="2" xfId="0" applyNumberFormat="1" applyFont="1" applyBorder="1" applyAlignment="1">
      <alignment horizontal="right" vertical="center" wrapText="1"/>
    </xf>
    <xf numFmtId="2" fontId="22" fillId="0" borderId="2" xfId="0" applyNumberFormat="1" applyFont="1" applyBorder="1" applyAlignment="1">
      <alignment horizontal="right" vertical="center"/>
    </xf>
    <xf numFmtId="0" fontId="45" fillId="0" borderId="0" xfId="0" applyFont="1" applyAlignment="1">
      <alignment horizontal="right"/>
    </xf>
    <xf numFmtId="0" fontId="11" fillId="0" borderId="2" xfId="0" applyFont="1" applyBorder="1" applyAlignment="1">
      <alignment horizontal="center" vertical="center" wrapText="1"/>
    </xf>
    <xf numFmtId="0" fontId="20" fillId="0" borderId="2" xfId="0" applyFont="1" applyBorder="1" applyAlignment="1">
      <alignment vertical="center" wrapText="1"/>
    </xf>
    <xf numFmtId="0" fontId="20" fillId="0" borderId="4" xfId="0" applyFont="1" applyBorder="1" applyAlignment="1">
      <alignment vertical="top"/>
    </xf>
    <xf numFmtId="0" fontId="9" fillId="0" borderId="4" xfId="0" applyFont="1" applyBorder="1"/>
    <xf numFmtId="2" fontId="21" fillId="0" borderId="6" xfId="0" applyNumberFormat="1" applyFont="1" applyBorder="1" applyAlignment="1">
      <alignment horizontal="center"/>
    </xf>
    <xf numFmtId="2" fontId="22" fillId="0" borderId="0" xfId="0" applyNumberFormat="1" applyFont="1" applyBorder="1" applyAlignment="1">
      <alignment horizontal="right"/>
    </xf>
    <xf numFmtId="0" fontId="4" fillId="0" borderId="6" xfId="0" applyFont="1" applyBorder="1" applyAlignment="1">
      <alignment horizontal="right"/>
    </xf>
    <xf numFmtId="0" fontId="21" fillId="0" borderId="2" xfId="0" applyFont="1" applyBorder="1" applyAlignment="1">
      <alignment horizontal="center"/>
    </xf>
    <xf numFmtId="0" fontId="21" fillId="0" borderId="3" xfId="0" applyFont="1" applyBorder="1" applyAlignment="1">
      <alignment horizontal="center"/>
    </xf>
    <xf numFmtId="0" fontId="7" fillId="0" borderId="0" xfId="0" applyFont="1"/>
    <xf numFmtId="0" fontId="3" fillId="0" borderId="0" xfId="0" quotePrefix="1" applyFont="1"/>
    <xf numFmtId="164" fontId="21" fillId="0" borderId="4" xfId="0" applyNumberFormat="1" applyFont="1" applyBorder="1" applyAlignment="1">
      <alignment horizontal="center" vertical="center"/>
    </xf>
    <xf numFmtId="0" fontId="15" fillId="0" borderId="0" xfId="0" quotePrefix="1" applyFont="1"/>
    <xf numFmtId="0" fontId="21" fillId="0" borderId="4" xfId="0" applyFont="1" applyBorder="1" applyAlignment="1">
      <alignment horizontal="center"/>
    </xf>
    <xf numFmtId="0" fontId="21" fillId="0" borderId="4" xfId="0" applyFont="1" applyBorder="1"/>
    <xf numFmtId="0" fontId="21" fillId="0" borderId="4" xfId="0" quotePrefix="1" applyFont="1" applyBorder="1" applyAlignment="1">
      <alignment horizontal="center"/>
    </xf>
    <xf numFmtId="2"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1" applyNumberFormat="1" applyFont="1" applyBorder="1" applyAlignment="1">
      <alignment horizontal="center"/>
    </xf>
    <xf numFmtId="2" fontId="21" fillId="0" borderId="1" xfId="1" applyNumberFormat="1" applyFont="1" applyBorder="1" applyAlignment="1">
      <alignment horizontal="center"/>
    </xf>
    <xf numFmtId="2" fontId="21" fillId="0" borderId="4" xfId="0" applyNumberFormat="1" applyFont="1" applyBorder="1" applyAlignment="1">
      <alignment horizontal="center" vertical="center" wrapText="1"/>
    </xf>
    <xf numFmtId="0" fontId="56" fillId="0" borderId="0" xfId="0" applyFont="1"/>
    <xf numFmtId="165" fontId="21" fillId="0" borderId="10" xfId="0" applyNumberFormat="1" applyFont="1" applyBorder="1" applyAlignment="1">
      <alignment horizontal="center"/>
    </xf>
    <xf numFmtId="2" fontId="22" fillId="0" borderId="7" xfId="0" applyNumberFormat="1" applyFont="1" applyBorder="1" applyAlignment="1">
      <alignment horizontal="center" vertical="center" wrapText="1"/>
    </xf>
    <xf numFmtId="1" fontId="21" fillId="0" borderId="13" xfId="0" applyNumberFormat="1" applyFont="1" applyBorder="1" applyAlignment="1">
      <alignment horizontal="center"/>
    </xf>
    <xf numFmtId="2" fontId="21" fillId="0" borderId="10" xfId="0" applyNumberFormat="1" applyFont="1" applyBorder="1" applyAlignment="1">
      <alignment horizontal="center"/>
    </xf>
    <xf numFmtId="2" fontId="22" fillId="0" borderId="0" xfId="0" applyNumberFormat="1" applyFont="1" applyBorder="1" applyAlignment="1">
      <alignment horizontal="center" vertical="center"/>
    </xf>
    <xf numFmtId="0" fontId="39" fillId="0" borderId="2" xfId="1" applyNumberFormat="1" applyFont="1" applyBorder="1" applyAlignment="1">
      <alignment horizontal="center"/>
    </xf>
    <xf numFmtId="0" fontId="39" fillId="0" borderId="0" xfId="1" applyNumberFormat="1" applyFont="1" applyBorder="1" applyAlignment="1">
      <alignment horizontal="center"/>
    </xf>
    <xf numFmtId="2" fontId="5" fillId="0" borderId="1" xfId="0" applyNumberFormat="1" applyFont="1" applyBorder="1" applyAlignment="1">
      <alignment horizontal="center"/>
    </xf>
    <xf numFmtId="2" fontId="0" fillId="0" borderId="0" xfId="0" applyNumberFormat="1"/>
    <xf numFmtId="1" fontId="22" fillId="0" borderId="1" xfId="0" applyNumberFormat="1" applyFont="1" applyBorder="1" applyAlignment="1">
      <alignment horizontal="center"/>
    </xf>
    <xf numFmtId="0" fontId="11" fillId="0" borderId="6" xfId="0" applyFont="1" applyBorder="1" applyAlignment="1">
      <alignment horizontal="center"/>
    </xf>
    <xf numFmtId="0" fontId="55" fillId="0" borderId="1" xfId="0" applyFont="1" applyBorder="1" applyAlignment="1">
      <alignment wrapText="1"/>
    </xf>
    <xf numFmtId="0" fontId="55" fillId="0" borderId="2" xfId="0" applyFont="1" applyBorder="1" applyAlignment="1">
      <alignment horizontal="center" vertical="center" wrapText="1"/>
    </xf>
    <xf numFmtId="0" fontId="59" fillId="0" borderId="16" xfId="0" applyFont="1" applyBorder="1" applyAlignment="1">
      <alignment horizontal="right"/>
    </xf>
    <xf numFmtId="0" fontId="59" fillId="0" borderId="17" xfId="0" applyFont="1" applyBorder="1" applyAlignment="1">
      <alignment horizontal="center"/>
    </xf>
    <xf numFmtId="0" fontId="47" fillId="0" borderId="0" xfId="0" applyFont="1" applyAlignment="1">
      <alignment horizontal="left"/>
    </xf>
    <xf numFmtId="0" fontId="39" fillId="0" borderId="8" xfId="1" applyNumberFormat="1" applyFont="1" applyBorder="1" applyAlignment="1">
      <alignment horizontal="center"/>
    </xf>
    <xf numFmtId="0" fontId="55" fillId="0" borderId="0" xfId="0" applyFont="1" applyBorder="1" applyAlignment="1">
      <alignment wrapText="1"/>
    </xf>
    <xf numFmtId="0" fontId="0" fillId="0" borderId="1" xfId="0" applyBorder="1" applyAlignment="1">
      <alignment wrapText="1"/>
    </xf>
    <xf numFmtId="0" fontId="4" fillId="0" borderId="0" xfId="0" applyFont="1" applyAlignment="1">
      <alignment wrapText="1"/>
    </xf>
    <xf numFmtId="1" fontId="22" fillId="0" borderId="3" xfId="0" applyNumberFormat="1" applyFont="1" applyBorder="1" applyAlignment="1">
      <alignment horizontal="center"/>
    </xf>
    <xf numFmtId="0" fontId="20" fillId="0" borderId="3" xfId="0" applyFont="1" applyBorder="1" applyAlignment="1">
      <alignment horizontal="center" wrapText="1"/>
    </xf>
    <xf numFmtId="0" fontId="62" fillId="0" borderId="0" xfId="0" applyFont="1" applyAlignment="1"/>
    <xf numFmtId="0" fontId="62" fillId="0" borderId="0" xfId="0" applyFont="1" applyBorder="1" applyAlignment="1"/>
    <xf numFmtId="0" fontId="62" fillId="0" borderId="0" xfId="0" applyFont="1" applyBorder="1" applyAlignment="1">
      <alignment wrapText="1"/>
    </xf>
    <xf numFmtId="0" fontId="18" fillId="0" borderId="3" xfId="0" applyFont="1" applyBorder="1" applyAlignment="1">
      <alignment horizontal="center" vertical="center" wrapText="1"/>
    </xf>
    <xf numFmtId="0" fontId="4" fillId="0" borderId="12" xfId="0" applyFont="1" applyBorder="1"/>
    <xf numFmtId="164" fontId="21" fillId="0" borderId="4" xfId="0" applyNumberFormat="1" applyFont="1" applyBorder="1" applyAlignment="1">
      <alignment horizontal="center"/>
    </xf>
    <xf numFmtId="0" fontId="4" fillId="0" borderId="2" xfId="0" applyFont="1" applyBorder="1" applyAlignment="1">
      <alignment wrapText="1"/>
    </xf>
    <xf numFmtId="0" fontId="4" fillId="0" borderId="4" xfId="0" applyFont="1" applyBorder="1" applyAlignment="1">
      <alignment wrapText="1"/>
    </xf>
    <xf numFmtId="0" fontId="10" fillId="0" borderId="0" xfId="0" applyFont="1" applyBorder="1" applyAlignment="1"/>
    <xf numFmtId="0" fontId="10" fillId="0" borderId="0" xfId="0" quotePrefix="1" applyFont="1" applyBorder="1" applyAlignment="1"/>
    <xf numFmtId="0" fontId="10" fillId="0" borderId="0" xfId="0" applyFont="1" applyAlignment="1"/>
    <xf numFmtId="0" fontId="55" fillId="0" borderId="0" xfId="0" applyFont="1" applyAlignment="1">
      <alignment wrapText="1"/>
    </xf>
    <xf numFmtId="0" fontId="10" fillId="0" borderId="0" xfId="0" applyFont="1" applyAlignment="1">
      <alignment wrapText="1"/>
    </xf>
    <xf numFmtId="2" fontId="37" fillId="0" borderId="0" xfId="0" applyNumberFormat="1" applyFont="1" applyBorder="1" applyAlignment="1"/>
    <xf numFmtId="0" fontId="65" fillId="0" borderId="0" xfId="0" applyFont="1" applyAlignment="1"/>
    <xf numFmtId="0" fontId="66" fillId="0" borderId="0" xfId="0" applyFont="1" applyAlignment="1"/>
    <xf numFmtId="0" fontId="2" fillId="0" borderId="0" xfId="0" applyFont="1"/>
    <xf numFmtId="0" fontId="70" fillId="0" borderId="0" xfId="0" applyFont="1"/>
    <xf numFmtId="0" fontId="72" fillId="0" borderId="1" xfId="0" applyFont="1" applyBorder="1" applyAlignment="1">
      <alignment wrapText="1"/>
    </xf>
    <xf numFmtId="0" fontId="69" fillId="0" borderId="1" xfId="0" applyFont="1" applyBorder="1" applyAlignment="1">
      <alignment wrapText="1"/>
    </xf>
    <xf numFmtId="0" fontId="15" fillId="0" borderId="1" xfId="0" applyFont="1" applyBorder="1" applyAlignment="1">
      <alignment horizontal="center"/>
    </xf>
    <xf numFmtId="2" fontId="73" fillId="0" borderId="1" xfId="0" applyNumberFormat="1" applyFont="1" applyBorder="1" applyAlignment="1">
      <alignment horizontal="right"/>
    </xf>
    <xf numFmtId="0" fontId="15" fillId="0" borderId="1" xfId="0" applyFont="1" applyBorder="1" applyAlignment="1">
      <alignment wrapText="1"/>
    </xf>
    <xf numFmtId="2" fontId="73" fillId="0" borderId="1" xfId="0" quotePrefix="1" applyNumberFormat="1" applyFont="1" applyBorder="1" applyAlignment="1">
      <alignment horizontal="right"/>
    </xf>
    <xf numFmtId="0" fontId="3" fillId="0" borderId="1" xfId="0" applyFont="1" applyBorder="1" applyAlignment="1">
      <alignment horizontal="center"/>
    </xf>
    <xf numFmtId="0" fontId="72" fillId="0" borderId="1" xfId="0" applyFont="1" applyBorder="1" applyAlignment="1">
      <alignment horizontal="right" wrapText="1"/>
    </xf>
    <xf numFmtId="0" fontId="15" fillId="0" borderId="1" xfId="0" applyFont="1" applyBorder="1" applyAlignment="1">
      <alignment horizontal="center" wrapText="1"/>
    </xf>
    <xf numFmtId="2" fontId="73" fillId="0" borderId="1" xfId="0" applyNumberFormat="1" applyFont="1" applyBorder="1" applyAlignment="1">
      <alignment horizontal="right" wrapText="1"/>
    </xf>
    <xf numFmtId="0" fontId="15" fillId="0" borderId="1" xfId="0" applyFont="1" applyBorder="1" applyAlignment="1">
      <alignment vertical="top" wrapText="1"/>
    </xf>
    <xf numFmtId="2" fontId="72" fillId="0" borderId="1" xfId="0" applyNumberFormat="1" applyFont="1" applyBorder="1" applyAlignment="1">
      <alignment horizontal="right" wrapText="1"/>
    </xf>
    <xf numFmtId="0" fontId="69" fillId="0" borderId="1" xfId="0" applyFont="1" applyBorder="1" applyAlignment="1">
      <alignment vertical="top" wrapText="1"/>
    </xf>
    <xf numFmtId="0" fontId="15" fillId="0" borderId="1" xfId="0" applyFont="1" applyBorder="1" applyAlignment="1">
      <alignment horizontal="left" wrapText="1"/>
    </xf>
    <xf numFmtId="0" fontId="2" fillId="0" borderId="1" xfId="0" applyFont="1" applyBorder="1" applyAlignment="1">
      <alignment horizontal="center"/>
    </xf>
    <xf numFmtId="0" fontId="78" fillId="0" borderId="1" xfId="0" applyFont="1" applyBorder="1" applyAlignment="1">
      <alignment vertical="top" wrapText="1"/>
    </xf>
    <xf numFmtId="0" fontId="80" fillId="0" borderId="1" xfId="0" applyFont="1" applyBorder="1" applyAlignment="1">
      <alignment horizontal="center"/>
    </xf>
    <xf numFmtId="0" fontId="40" fillId="0" borderId="1" xfId="0" applyFont="1" applyBorder="1" applyAlignment="1">
      <alignment horizontal="center" wrapText="1"/>
    </xf>
    <xf numFmtId="2" fontId="81" fillId="0" borderId="1" xfId="0" applyNumberFormat="1" applyFont="1" applyBorder="1" applyAlignment="1">
      <alignment horizontal="right" wrapText="1"/>
    </xf>
    <xf numFmtId="0" fontId="20" fillId="0" borderId="1" xfId="0" applyFont="1" applyBorder="1" applyAlignment="1">
      <alignment horizontal="center" wrapText="1"/>
    </xf>
    <xf numFmtId="0" fontId="82" fillId="0" borderId="1" xfId="0" applyFont="1" applyBorder="1" applyAlignment="1">
      <alignment wrapText="1"/>
    </xf>
    <xf numFmtId="0" fontId="55" fillId="0" borderId="1" xfId="0" applyFont="1" applyBorder="1" applyAlignment="1">
      <alignment horizontal="justify" wrapText="1"/>
    </xf>
    <xf numFmtId="0" fontId="15" fillId="0" borderId="1" xfId="0" applyFont="1" applyBorder="1" applyAlignment="1">
      <alignment horizontal="justify" wrapText="1"/>
    </xf>
    <xf numFmtId="0" fontId="4" fillId="0" borderId="1" xfId="0" applyFont="1" applyBorder="1" applyAlignment="1">
      <alignment horizontal="center" wrapText="1"/>
    </xf>
    <xf numFmtId="0" fontId="69" fillId="0" borderId="1" xfId="0" applyFont="1" applyBorder="1" applyAlignment="1"/>
    <xf numFmtId="0" fontId="71" fillId="0" borderId="1" xfId="0" applyFont="1" applyBorder="1" applyAlignment="1"/>
    <xf numFmtId="0" fontId="55" fillId="0" borderId="1" xfId="0" applyFont="1" applyBorder="1" applyAlignment="1">
      <alignment horizontal="center" wrapText="1"/>
    </xf>
    <xf numFmtId="0" fontId="72" fillId="0" borderId="1" xfId="0" applyFont="1" applyBorder="1" applyAlignment="1"/>
    <xf numFmtId="0" fontId="83" fillId="0" borderId="1" xfId="0" applyFont="1" applyBorder="1" applyAlignment="1">
      <alignment horizontal="center" wrapText="1"/>
    </xf>
    <xf numFmtId="0" fontId="40" fillId="0" borderId="1" xfId="0" applyFont="1" applyBorder="1" applyAlignment="1">
      <alignment horizontal="center"/>
    </xf>
    <xf numFmtId="2" fontId="81" fillId="0" borderId="1" xfId="0" applyNumberFormat="1" applyFont="1" applyBorder="1" applyAlignment="1">
      <alignment horizontal="right"/>
    </xf>
    <xf numFmtId="2" fontId="75" fillId="0" borderId="1" xfId="0" applyNumberFormat="1" applyFont="1" applyBorder="1" applyAlignment="1">
      <alignment horizontal="right"/>
    </xf>
    <xf numFmtId="0" fontId="55" fillId="0" borderId="1" xfId="0" applyFont="1" applyBorder="1" applyAlignment="1">
      <alignment horizontal="left" wrapText="1"/>
    </xf>
    <xf numFmtId="2" fontId="75" fillId="0" borderId="1" xfId="0" applyNumberFormat="1" applyFont="1" applyBorder="1" applyAlignment="1">
      <alignment horizontal="right" wrapText="1"/>
    </xf>
    <xf numFmtId="0" fontId="86" fillId="0" borderId="1" xfId="0" applyFont="1" applyBorder="1" applyAlignment="1">
      <alignment wrapText="1"/>
    </xf>
    <xf numFmtId="0" fontId="38" fillId="0" borderId="1" xfId="0" applyFont="1" applyBorder="1" applyAlignment="1">
      <alignment horizontal="center" wrapText="1"/>
    </xf>
    <xf numFmtId="0" fontId="73" fillId="0" borderId="1" xfId="0" applyFont="1" applyBorder="1" applyAlignment="1">
      <alignment wrapText="1"/>
    </xf>
    <xf numFmtId="0" fontId="87" fillId="0" borderId="1" xfId="0" applyFont="1" applyBorder="1" applyAlignment="1">
      <alignment horizontal="center" wrapText="1"/>
    </xf>
    <xf numFmtId="0" fontId="55" fillId="0" borderId="1" xfId="0" applyFont="1" applyBorder="1" applyAlignment="1"/>
    <xf numFmtId="2" fontId="85" fillId="0" borderId="1" xfId="0" applyNumberFormat="1" applyFont="1" applyBorder="1" applyAlignment="1">
      <alignment horizontal="right"/>
    </xf>
    <xf numFmtId="0" fontId="74" fillId="0" borderId="1" xfId="0" applyFont="1" applyBorder="1" applyAlignment="1">
      <alignment wrapText="1"/>
    </xf>
    <xf numFmtId="0" fontId="75" fillId="0" borderId="1" xfId="0" applyFont="1" applyBorder="1" applyAlignment="1">
      <alignment wrapText="1"/>
    </xf>
    <xf numFmtId="0" fontId="3" fillId="0" borderId="1" xfId="0" applyFont="1" applyBorder="1" applyAlignment="1"/>
    <xf numFmtId="0" fontId="15" fillId="0" borderId="1" xfId="0" applyFont="1" applyBorder="1" applyAlignment="1"/>
    <xf numFmtId="0" fontId="4" fillId="0" borderId="1" xfId="0" applyFont="1" applyBorder="1" applyAlignment="1">
      <alignment wrapText="1"/>
    </xf>
    <xf numFmtId="0" fontId="40" fillId="0" borderId="1" xfId="0" applyFont="1" applyBorder="1" applyAlignment="1">
      <alignment wrapText="1"/>
    </xf>
    <xf numFmtId="0" fontId="55" fillId="0" borderId="1" xfId="0" applyFont="1" applyBorder="1" applyAlignment="1">
      <alignment horizontal="right" wrapText="1"/>
    </xf>
    <xf numFmtId="2" fontId="74" fillId="0" borderId="1" xfId="0" applyNumberFormat="1" applyFont="1" applyBorder="1" applyAlignment="1">
      <alignment horizontal="right" wrapText="1"/>
    </xf>
    <xf numFmtId="0" fontId="15" fillId="0" borderId="1" xfId="0" applyFont="1" applyFill="1" applyBorder="1" applyAlignment="1">
      <alignment wrapText="1"/>
    </xf>
    <xf numFmtId="0" fontId="15" fillId="0" borderId="1" xfId="0" applyFont="1" applyFill="1" applyBorder="1" applyAlignment="1">
      <alignment horizontal="center" wrapText="1"/>
    </xf>
    <xf numFmtId="0" fontId="69" fillId="0" borderId="1" xfId="0" applyFont="1" applyBorder="1" applyAlignment="1">
      <alignment horizontal="center" wrapText="1"/>
    </xf>
    <xf numFmtId="0" fontId="78" fillId="0" borderId="1" xfId="0" applyFont="1" applyBorder="1" applyAlignment="1">
      <alignment horizontal="center" wrapText="1"/>
    </xf>
    <xf numFmtId="0" fontId="82" fillId="0" borderId="1" xfId="0" applyFont="1" applyBorder="1" applyAlignment="1">
      <alignment horizontal="left" wrapText="1"/>
    </xf>
    <xf numFmtId="0" fontId="74" fillId="0" borderId="1" xfId="0" applyFont="1" applyBorder="1" applyAlignment="1">
      <alignment horizontal="justify" wrapText="1"/>
    </xf>
    <xf numFmtId="0" fontId="74" fillId="0" borderId="1" xfId="0" applyFont="1" applyBorder="1" applyAlignment="1">
      <alignment horizontal="justify" vertical="top" wrapText="1"/>
    </xf>
    <xf numFmtId="2" fontId="72" fillId="0" borderId="1" xfId="0" applyNumberFormat="1" applyFont="1" applyBorder="1" applyAlignment="1">
      <alignment horizontal="right"/>
    </xf>
    <xf numFmtId="0" fontId="69" fillId="0" borderId="1" xfId="0" applyFont="1" applyBorder="1" applyAlignment="1">
      <alignment vertical="top"/>
    </xf>
    <xf numFmtId="0" fontId="69" fillId="0" borderId="1" xfId="0" applyFont="1" applyFill="1" applyBorder="1" applyAlignment="1"/>
    <xf numFmtId="0" fontId="92" fillId="0" borderId="1" xfId="0" applyFont="1" applyBorder="1" applyAlignment="1">
      <alignment wrapText="1"/>
    </xf>
    <xf numFmtId="0" fontId="18" fillId="0" borderId="1" xfId="0" applyFont="1" applyBorder="1" applyAlignment="1">
      <alignment horizontal="center" wrapText="1"/>
    </xf>
    <xf numFmtId="0" fontId="85" fillId="0" borderId="1" xfId="0" applyFont="1" applyBorder="1" applyAlignment="1">
      <alignment horizontal="center" wrapText="1"/>
    </xf>
    <xf numFmtId="0" fontId="85" fillId="0" borderId="1" xfId="0" applyFont="1" applyBorder="1" applyAlignment="1">
      <alignment horizontal="center" vertical="top" wrapText="1"/>
    </xf>
    <xf numFmtId="0" fontId="18" fillId="0" borderId="1" xfId="0" applyFont="1" applyBorder="1" applyAlignment="1">
      <alignment wrapText="1"/>
    </xf>
    <xf numFmtId="0" fontId="76" fillId="0" borderId="1" xfId="0" applyFont="1" applyBorder="1" applyAlignment="1">
      <alignment wrapText="1"/>
    </xf>
    <xf numFmtId="0" fontId="72" fillId="0" borderId="1" xfId="0" applyFont="1" applyBorder="1" applyAlignment="1">
      <alignment horizontal="left" wrapText="1"/>
    </xf>
    <xf numFmtId="2" fontId="55" fillId="0" borderId="1" xfId="0" applyNumberFormat="1" applyFont="1" applyBorder="1" applyAlignment="1">
      <alignment horizontal="right"/>
    </xf>
    <xf numFmtId="0" fontId="2" fillId="0" borderId="1" xfId="0" applyFont="1" applyBorder="1" applyAlignment="1">
      <alignment wrapText="1"/>
    </xf>
    <xf numFmtId="0" fontId="4" fillId="0" borderId="1" xfId="0" applyFont="1" applyBorder="1" applyAlignment="1"/>
    <xf numFmtId="0" fontId="15" fillId="0" borderId="1" xfId="0" applyFont="1" applyBorder="1" applyAlignment="1">
      <alignment horizontal="right" wrapText="1"/>
    </xf>
    <xf numFmtId="0" fontId="73" fillId="0" borderId="1" xfId="0" applyFont="1" applyBorder="1" applyAlignment="1">
      <alignment horizontal="justify" wrapText="1"/>
    </xf>
    <xf numFmtId="0" fontId="74" fillId="0" borderId="9" xfId="0" applyFont="1" applyBorder="1" applyAlignment="1">
      <alignment horizontal="left" wrapText="1"/>
    </xf>
    <xf numFmtId="0" fontId="74" fillId="0" borderId="1" xfId="0" applyFont="1" applyBorder="1" applyAlignment="1">
      <alignment horizontal="left" wrapText="1"/>
    </xf>
    <xf numFmtId="0" fontId="93" fillId="0" borderId="1" xfId="0" applyFont="1" applyBorder="1" applyAlignment="1">
      <alignment wrapText="1"/>
    </xf>
    <xf numFmtId="0" fontId="2" fillId="0" borderId="1" xfId="0" applyFont="1" applyBorder="1" applyAlignment="1">
      <alignment horizontal="right" wrapText="1"/>
    </xf>
    <xf numFmtId="0" fontId="94" fillId="0" borderId="1" xfId="0" applyFont="1" applyBorder="1" applyAlignment="1">
      <alignment horizontal="justify" wrapText="1"/>
    </xf>
    <xf numFmtId="0" fontId="72" fillId="0" borderId="1" xfId="0" applyFont="1" applyBorder="1" applyAlignment="1">
      <alignment horizontal="justify" wrapText="1"/>
    </xf>
    <xf numFmtId="0" fontId="75" fillId="0" borderId="1" xfId="0" applyFont="1" applyBorder="1" applyAlignment="1">
      <alignment horizontal="justify" wrapText="1"/>
    </xf>
    <xf numFmtId="0" fontId="69" fillId="0" borderId="1" xfId="0" applyFont="1" applyBorder="1" applyAlignment="1">
      <alignment horizontal="justify" wrapText="1"/>
    </xf>
    <xf numFmtId="2" fontId="55" fillId="0" borderId="1" xfId="0" applyNumberFormat="1" applyFont="1" applyBorder="1" applyAlignment="1">
      <alignment horizontal="right" wrapText="1"/>
    </xf>
    <xf numFmtId="0" fontId="96" fillId="0" borderId="1" xfId="0" applyFont="1" applyBorder="1" applyAlignment="1">
      <alignment horizontal="justify" wrapText="1"/>
    </xf>
    <xf numFmtId="0" fontId="88" fillId="0" borderId="1" xfId="0" applyFont="1" applyBorder="1" applyAlignment="1">
      <alignment wrapText="1"/>
    </xf>
    <xf numFmtId="2" fontId="88" fillId="0" borderId="1" xfId="0" applyNumberFormat="1" applyFont="1" applyBorder="1" applyAlignment="1">
      <alignment horizontal="right" wrapText="1"/>
    </xf>
    <xf numFmtId="0" fontId="94" fillId="0" borderId="1" xfId="0" applyFont="1" applyBorder="1" applyAlignment="1">
      <alignment wrapText="1"/>
    </xf>
    <xf numFmtId="0" fontId="72" fillId="0" borderId="1" xfId="0" applyFont="1" applyBorder="1" applyAlignment="1">
      <alignment horizontal="center"/>
    </xf>
    <xf numFmtId="0" fontId="74" fillId="0" borderId="1" xfId="0" applyFont="1" applyBorder="1" applyAlignment="1">
      <alignment horizontal="center" wrapText="1"/>
    </xf>
    <xf numFmtId="0" fontId="10" fillId="0" borderId="1" xfId="0" applyFont="1" applyBorder="1" applyAlignment="1">
      <alignment horizontal="center" wrapText="1"/>
    </xf>
    <xf numFmtId="0" fontId="76" fillId="0" borderId="1" xfId="0" applyFont="1" applyBorder="1" applyAlignment="1">
      <alignment horizontal="center" wrapText="1"/>
    </xf>
    <xf numFmtId="0" fontId="97" fillId="0" borderId="1" xfId="0" applyFont="1" applyBorder="1" applyAlignment="1">
      <alignment wrapText="1"/>
    </xf>
    <xf numFmtId="2" fontId="97" fillId="0" borderId="1" xfId="0" applyNumberFormat="1" applyFont="1" applyBorder="1" applyAlignment="1">
      <alignment horizontal="right" wrapText="1"/>
    </xf>
    <xf numFmtId="0" fontId="97" fillId="0" borderId="1" xfId="0" applyFont="1" applyBorder="1" applyAlignment="1">
      <alignment horizontal="center" wrapText="1"/>
    </xf>
    <xf numFmtId="0" fontId="2" fillId="0" borderId="1" xfId="0" applyFont="1" applyBorder="1" applyAlignment="1">
      <alignment horizontal="right"/>
    </xf>
    <xf numFmtId="0" fontId="98" fillId="0" borderId="1" xfId="0" applyFont="1" applyBorder="1" applyAlignment="1">
      <alignment wrapText="1"/>
    </xf>
    <xf numFmtId="0" fontId="98" fillId="0" borderId="1" xfId="0" applyFont="1" applyBorder="1" applyAlignment="1"/>
    <xf numFmtId="2" fontId="74" fillId="0" borderId="1" xfId="0" applyNumberFormat="1" applyFont="1" applyBorder="1" applyAlignment="1">
      <alignment horizontal="right"/>
    </xf>
    <xf numFmtId="0" fontId="73" fillId="0" borderId="1" xfId="0" applyFont="1" applyBorder="1" applyAlignment="1"/>
    <xf numFmtId="0" fontId="88" fillId="0" borderId="1" xfId="0" applyFont="1" applyBorder="1" applyAlignment="1"/>
    <xf numFmtId="0" fontId="99" fillId="0" borderId="1" xfId="0" applyFont="1" applyBorder="1" applyAlignment="1"/>
    <xf numFmtId="2" fontId="99" fillId="0" borderId="1" xfId="0" applyNumberFormat="1" applyFont="1" applyBorder="1" applyAlignment="1">
      <alignment horizontal="right"/>
    </xf>
    <xf numFmtId="0" fontId="72" fillId="0" borderId="1" xfId="0" applyFont="1" applyBorder="1" applyAlignment="1">
      <alignment horizontal="left"/>
    </xf>
    <xf numFmtId="0" fontId="74" fillId="0" borderId="1" xfId="0" applyFont="1" applyBorder="1" applyAlignment="1"/>
    <xf numFmtId="0" fontId="72" fillId="0" borderId="1" xfId="0" applyFont="1" applyBorder="1" applyAlignment="1">
      <alignment horizontal="right"/>
    </xf>
    <xf numFmtId="0" fontId="100" fillId="0" borderId="1" xfId="0" applyFont="1" applyBorder="1" applyAlignment="1"/>
    <xf numFmtId="0" fontId="2" fillId="0" borderId="1" xfId="0" applyFont="1" applyBorder="1" applyAlignment="1"/>
    <xf numFmtId="0" fontId="75" fillId="0" borderId="1" xfId="0" applyFont="1" applyBorder="1" applyAlignment="1"/>
    <xf numFmtId="0" fontId="18" fillId="0" borderId="1" xfId="0" applyFont="1" applyBorder="1" applyAlignment="1"/>
    <xf numFmtId="0" fontId="18" fillId="0" borderId="1" xfId="0" applyFont="1" applyBorder="1" applyAlignment="1">
      <alignment horizontal="center"/>
    </xf>
    <xf numFmtId="0" fontId="72" fillId="0" borderId="1" xfId="0" applyFont="1" applyFill="1" applyBorder="1" applyAlignment="1">
      <alignment horizontal="center"/>
    </xf>
    <xf numFmtId="0" fontId="72" fillId="0" borderId="0" xfId="0" applyFont="1" applyAlignment="1"/>
    <xf numFmtId="0" fontId="2" fillId="0" borderId="0" xfId="0" applyFont="1" applyAlignment="1"/>
    <xf numFmtId="0" fontId="2" fillId="0" borderId="0" xfId="0" applyFont="1" applyAlignment="1">
      <alignment horizontal="center"/>
    </xf>
    <xf numFmtId="2" fontId="73" fillId="0" borderId="0" xfId="0" applyNumberFormat="1" applyFont="1" applyAlignment="1">
      <alignment horizontal="right"/>
    </xf>
    <xf numFmtId="0" fontId="69" fillId="0" borderId="4" xfId="0" applyFont="1" applyBorder="1" applyAlignment="1">
      <alignment horizontal="center" vertical="center"/>
    </xf>
    <xf numFmtId="0" fontId="22" fillId="0" borderId="1" xfId="0" applyFont="1" applyBorder="1" applyAlignment="1"/>
    <xf numFmtId="2" fontId="102" fillId="0" borderId="1" xfId="0" applyNumberFormat="1" applyFont="1" applyBorder="1" applyAlignment="1"/>
    <xf numFmtId="0" fontId="102" fillId="0" borderId="1" xfId="0" applyFont="1" applyBorder="1" applyAlignment="1"/>
    <xf numFmtId="0" fontId="103" fillId="0" borderId="1" xfId="0" applyFont="1" applyBorder="1" applyAlignment="1">
      <alignment wrapText="1"/>
    </xf>
    <xf numFmtId="0" fontId="102" fillId="0" borderId="1" xfId="0" applyFont="1" applyBorder="1" applyAlignment="1">
      <alignment wrapText="1"/>
    </xf>
    <xf numFmtId="0" fontId="104" fillId="0" borderId="1" xfId="0" applyFont="1" applyBorder="1" applyAlignment="1">
      <alignment wrapText="1"/>
    </xf>
    <xf numFmtId="0" fontId="106" fillId="0" borderId="1" xfId="0" applyFont="1" applyBorder="1" applyAlignment="1"/>
    <xf numFmtId="0" fontId="103" fillId="0" borderId="1" xfId="0" applyFont="1" applyBorder="1" applyAlignment="1"/>
    <xf numFmtId="0" fontId="15" fillId="2" borderId="1" xfId="0" applyFont="1" applyFill="1" applyBorder="1" applyAlignment="1">
      <alignment horizontal="center" wrapText="1"/>
    </xf>
    <xf numFmtId="2" fontId="73" fillId="2" borderId="1" xfId="0" applyNumberFormat="1" applyFont="1" applyFill="1" applyBorder="1" applyAlignment="1">
      <alignment horizontal="right"/>
    </xf>
    <xf numFmtId="2" fontId="102" fillId="2" borderId="1" xfId="0" applyNumberFormat="1" applyFont="1" applyFill="1" applyBorder="1" applyAlignment="1"/>
    <xf numFmtId="2" fontId="102" fillId="0" borderId="1" xfId="0" applyNumberFormat="1" applyFont="1" applyBorder="1" applyAlignment="1">
      <alignment wrapText="1"/>
    </xf>
    <xf numFmtId="0" fontId="107" fillId="0" borderId="1" xfId="0" applyFont="1" applyBorder="1" applyAlignment="1">
      <alignment horizontal="right"/>
    </xf>
    <xf numFmtId="0" fontId="106" fillId="0" borderId="1" xfId="0" applyFont="1" applyBorder="1" applyAlignment="1">
      <alignment wrapText="1"/>
    </xf>
    <xf numFmtId="0" fontId="108" fillId="0" borderId="1" xfId="0" applyFont="1" applyBorder="1" applyAlignment="1">
      <alignment wrapText="1"/>
    </xf>
    <xf numFmtId="0" fontId="107" fillId="0" borderId="1" xfId="0" applyFont="1" applyBorder="1" applyAlignment="1"/>
    <xf numFmtId="0" fontId="102" fillId="0" borderId="1" xfId="0" applyFont="1" applyBorder="1" applyAlignment="1">
      <alignment horizontal="right"/>
    </xf>
    <xf numFmtId="0" fontId="109" fillId="0" borderId="1" xfId="0" applyFont="1" applyBorder="1" applyAlignment="1">
      <alignment wrapText="1"/>
    </xf>
    <xf numFmtId="0" fontId="108" fillId="0" borderId="1" xfId="0" applyFont="1" applyBorder="1" applyAlignment="1">
      <alignment horizontal="justify" wrapText="1"/>
    </xf>
    <xf numFmtId="0" fontId="104" fillId="0" borderId="1" xfId="0" applyFont="1" applyBorder="1" applyAlignment="1"/>
    <xf numFmtId="2" fontId="107" fillId="0" borderId="1" xfId="0" applyNumberFormat="1" applyFont="1" applyBorder="1" applyAlignment="1">
      <alignment wrapText="1"/>
    </xf>
    <xf numFmtId="0" fontId="104" fillId="0" borderId="1" xfId="0" applyFont="1" applyBorder="1" applyAlignment="1">
      <alignment horizontal="justify" wrapText="1"/>
    </xf>
    <xf numFmtId="2" fontId="107" fillId="0" borderId="1" xfId="0" applyNumberFormat="1" applyFont="1" applyBorder="1" applyAlignment="1">
      <alignment horizontal="justify" wrapText="1"/>
    </xf>
    <xf numFmtId="0" fontId="110" fillId="0" borderId="1" xfId="0" applyFont="1" applyBorder="1" applyAlignment="1">
      <alignment horizontal="justify" wrapText="1"/>
    </xf>
    <xf numFmtId="0" fontId="110" fillId="0" borderId="1" xfId="0" applyFont="1" applyBorder="1" applyAlignment="1">
      <alignment wrapText="1"/>
    </xf>
    <xf numFmtId="0" fontId="111" fillId="0" borderId="1" xfId="0" applyFont="1" applyBorder="1" applyAlignment="1">
      <alignment wrapText="1"/>
    </xf>
    <xf numFmtId="0" fontId="103" fillId="0" borderId="1" xfId="0" applyFont="1" applyBorder="1" applyAlignment="1">
      <alignment horizontal="center" wrapText="1"/>
    </xf>
    <xf numFmtId="0" fontId="102" fillId="3" borderId="1" xfId="0" applyFont="1" applyFill="1" applyBorder="1" applyAlignment="1"/>
    <xf numFmtId="2" fontId="102" fillId="3" borderId="1" xfId="0" applyNumberFormat="1" applyFont="1" applyFill="1" applyBorder="1" applyAlignment="1"/>
    <xf numFmtId="0" fontId="105" fillId="3" borderId="1" xfId="0" applyFont="1" applyFill="1" applyBorder="1" applyAlignment="1">
      <alignment horizontal="center" wrapText="1"/>
    </xf>
    <xf numFmtId="0" fontId="68" fillId="0" borderId="0" xfId="0" applyFont="1" applyBorder="1" applyAlignment="1">
      <alignment horizontal="center"/>
    </xf>
    <xf numFmtId="0" fontId="15" fillId="0" borderId="4" xfId="0" applyFont="1" applyBorder="1" applyAlignment="1">
      <alignment horizontal="center"/>
    </xf>
    <xf numFmtId="2" fontId="102" fillId="0" borderId="7" xfId="0" applyNumberFormat="1" applyFont="1" applyBorder="1" applyAlignment="1"/>
    <xf numFmtId="2" fontId="22" fillId="0" borderId="7" xfId="0" applyNumberFormat="1" applyFont="1" applyBorder="1" applyAlignment="1"/>
    <xf numFmtId="0" fontId="22" fillId="0" borderId="1" xfId="0" applyFont="1" applyBorder="1" applyAlignment="1">
      <alignment wrapText="1"/>
    </xf>
    <xf numFmtId="2" fontId="22" fillId="0" borderId="1" xfId="0" applyNumberFormat="1" applyFont="1" applyBorder="1" applyAlignment="1"/>
    <xf numFmtId="0" fontId="9" fillId="0" borderId="1" xfId="0" applyFont="1" applyBorder="1" applyAlignment="1">
      <alignment horizontal="center" wrapText="1"/>
    </xf>
    <xf numFmtId="0" fontId="5" fillId="0" borderId="1" xfId="0" applyFont="1" applyFill="1" applyBorder="1" applyAlignment="1">
      <alignment horizontal="center"/>
    </xf>
    <xf numFmtId="1" fontId="22" fillId="0" borderId="2" xfId="0" quotePrefix="1" applyNumberFormat="1" applyFont="1" applyBorder="1" applyAlignment="1">
      <alignment horizontal="center"/>
    </xf>
    <xf numFmtId="0" fontId="114" fillId="0" borderId="0" xfId="0" applyFont="1" applyBorder="1" applyAlignment="1">
      <alignment wrapText="1"/>
    </xf>
    <xf numFmtId="0" fontId="114" fillId="0" borderId="0" xfId="0" applyFont="1" applyBorder="1" applyAlignment="1"/>
    <xf numFmtId="0" fontId="18" fillId="0" borderId="0" xfId="0" applyFont="1" applyAlignment="1">
      <alignment wrapText="1"/>
    </xf>
    <xf numFmtId="0" fontId="18" fillId="0" borderId="0" xfId="0" applyFont="1" applyBorder="1" applyAlignment="1">
      <alignment wrapText="1"/>
    </xf>
    <xf numFmtId="0" fontId="0" fillId="0" borderId="1" xfId="0" applyBorder="1" applyAlignment="1">
      <alignment horizontal="center" vertical="center" wrapText="1"/>
    </xf>
    <xf numFmtId="2" fontId="22" fillId="0" borderId="5" xfId="0" applyNumberFormat="1" applyFont="1" applyBorder="1" applyAlignment="1">
      <alignment horizontal="center" vertical="center" wrapText="1"/>
    </xf>
    <xf numFmtId="2" fontId="22" fillId="0" borderId="11" xfId="0" applyNumberFormat="1" applyFont="1" applyBorder="1" applyAlignment="1">
      <alignment horizontal="center" vertical="center" wrapText="1"/>
    </xf>
    <xf numFmtId="0" fontId="20" fillId="0" borderId="5" xfId="0" applyFont="1" applyBorder="1" applyAlignment="1">
      <alignment horizontal="left"/>
    </xf>
    <xf numFmtId="0" fontId="84" fillId="0" borderId="4" xfId="0" applyFont="1" applyBorder="1" applyAlignment="1">
      <alignment horizontal="center" vertical="center" wrapText="1"/>
    </xf>
    <xf numFmtId="16" fontId="10" fillId="0" borderId="1" xfId="0" applyNumberFormat="1" applyFont="1" applyBorder="1" applyAlignment="1">
      <alignment horizontal="center"/>
    </xf>
    <xf numFmtId="0" fontId="10" fillId="0" borderId="1" xfId="0" applyFont="1" applyBorder="1"/>
    <xf numFmtId="0" fontId="117" fillId="0" borderId="18" xfId="0" applyFont="1" applyBorder="1" applyAlignment="1">
      <alignment horizontal="center"/>
    </xf>
    <xf numFmtId="0" fontId="5" fillId="0" borderId="19" xfId="0" applyFont="1" applyBorder="1" applyAlignment="1">
      <alignment horizontal="center"/>
    </xf>
    <xf numFmtId="0" fontId="117" fillId="0" borderId="20" xfId="0" applyFont="1" applyBorder="1" applyAlignment="1">
      <alignment horizontal="center"/>
    </xf>
    <xf numFmtId="0" fontId="10" fillId="0" borderId="21" xfId="0" applyFont="1" applyBorder="1"/>
    <xf numFmtId="16" fontId="10" fillId="0" borderId="21" xfId="0" applyNumberFormat="1" applyFont="1" applyBorder="1" applyAlignment="1">
      <alignment horizontal="center"/>
    </xf>
    <xf numFmtId="0" fontId="5" fillId="0" borderId="22" xfId="0" applyFont="1" applyBorder="1" applyAlignment="1">
      <alignment horizontal="center"/>
    </xf>
    <xf numFmtId="0" fontId="117" fillId="0" borderId="23" xfId="0" applyFont="1" applyBorder="1" applyAlignment="1">
      <alignment horizontal="center"/>
    </xf>
    <xf numFmtId="0" fontId="10" fillId="0" borderId="4" xfId="0" applyFont="1" applyBorder="1"/>
    <xf numFmtId="16" fontId="10" fillId="0" borderId="4" xfId="0" applyNumberFormat="1" applyFont="1" applyBorder="1" applyAlignment="1">
      <alignment horizontal="center"/>
    </xf>
    <xf numFmtId="0" fontId="5" fillId="0" borderId="24" xfId="0" applyFont="1" applyBorder="1" applyAlignment="1">
      <alignment horizontal="center"/>
    </xf>
    <xf numFmtId="0" fontId="117" fillId="0" borderId="21" xfId="0" applyFont="1" applyBorder="1" applyAlignment="1">
      <alignment horizontal="center"/>
    </xf>
    <xf numFmtId="0" fontId="117" fillId="0" borderId="22" xfId="0" applyFont="1" applyBorder="1" applyAlignment="1">
      <alignment horizontal="center"/>
    </xf>
    <xf numFmtId="0" fontId="40" fillId="0" borderId="0" xfId="0" applyFont="1"/>
    <xf numFmtId="0" fontId="112" fillId="0" borderId="0" xfId="0" applyFont="1"/>
    <xf numFmtId="0" fontId="0" fillId="0" borderId="0" xfId="0" applyAlignment="1">
      <alignment horizontal="center" vertical="center"/>
    </xf>
    <xf numFmtId="2" fontId="0" fillId="0" borderId="2" xfId="0" applyNumberFormat="1" applyBorder="1" applyAlignment="1">
      <alignment horizontal="center" vertical="center"/>
    </xf>
    <xf numFmtId="0" fontId="112" fillId="0" borderId="25" xfId="0" applyFont="1" applyBorder="1" applyAlignment="1">
      <alignment horizontal="center" vertical="center"/>
    </xf>
    <xf numFmtId="0" fontId="0" fillId="0" borderId="25" xfId="0" applyBorder="1" applyAlignment="1">
      <alignment horizontal="center" vertical="center"/>
    </xf>
    <xf numFmtId="2" fontId="0" fillId="0" borderId="26" xfId="0" applyNumberFormat="1" applyBorder="1" applyAlignment="1">
      <alignment horizontal="center" vertical="center"/>
    </xf>
    <xf numFmtId="0" fontId="18" fillId="0" borderId="18" xfId="0" applyFont="1" applyBorder="1" applyAlignment="1">
      <alignment horizontal="center" vertical="top"/>
    </xf>
    <xf numFmtId="0" fontId="18" fillId="0" borderId="1" xfId="0" applyFont="1" applyBorder="1" applyAlignment="1">
      <alignment horizontal="justify" vertical="top" wrapText="1"/>
    </xf>
    <xf numFmtId="0" fontId="18" fillId="0" borderId="1" xfId="0" applyFont="1" applyBorder="1" applyAlignment="1">
      <alignment horizontal="center" vertical="center"/>
    </xf>
    <xf numFmtId="2" fontId="18" fillId="0" borderId="19" xfId="0" applyNumberFormat="1" applyFont="1" applyBorder="1" applyAlignment="1">
      <alignment horizontal="center" vertical="center"/>
    </xf>
    <xf numFmtId="0" fontId="18" fillId="0" borderId="18" xfId="0" applyFont="1" applyBorder="1" applyAlignment="1">
      <alignment horizontal="center"/>
    </xf>
    <xf numFmtId="0" fontId="18" fillId="0" borderId="1" xfId="0" applyFont="1" applyBorder="1" applyAlignment="1">
      <alignment horizontal="left"/>
    </xf>
    <xf numFmtId="0" fontId="0" fillId="0" borderId="1" xfId="0" applyBorder="1" applyAlignment="1">
      <alignment horizontal="justify" vertical="top" wrapText="1"/>
    </xf>
    <xf numFmtId="0" fontId="0" fillId="0" borderId="1" xfId="0" applyBorder="1" applyAlignment="1">
      <alignment horizontal="center" vertical="center"/>
    </xf>
    <xf numFmtId="0" fontId="0" fillId="0" borderId="18" xfId="0" applyBorder="1" applyAlignment="1">
      <alignment horizontal="center" vertical="top"/>
    </xf>
    <xf numFmtId="2" fontId="18" fillId="3" borderId="19" xfId="0" applyNumberFormat="1" applyFont="1" applyFill="1" applyBorder="1" applyAlignment="1">
      <alignment horizontal="center" vertical="center"/>
    </xf>
    <xf numFmtId="0" fontId="2" fillId="0" borderId="18" xfId="0" applyFont="1" applyBorder="1" applyAlignment="1">
      <alignment horizontal="center" vertical="top"/>
    </xf>
    <xf numFmtId="0" fontId="2" fillId="0" borderId="1" xfId="0" applyFont="1" applyBorder="1" applyAlignment="1">
      <alignment horizontal="justify" vertical="top" wrapText="1"/>
    </xf>
    <xf numFmtId="0" fontId="2" fillId="0" borderId="1" xfId="0" applyFont="1" applyBorder="1" applyAlignment="1">
      <alignment horizontal="center" vertical="center"/>
    </xf>
    <xf numFmtId="0" fontId="0" fillId="0" borderId="1" xfId="0" applyFill="1" applyBorder="1" applyAlignment="1">
      <alignment horizontal="justify" vertical="top" wrapText="1"/>
    </xf>
    <xf numFmtId="0" fontId="0" fillId="0" borderId="1" xfId="0" applyFill="1" applyBorder="1" applyAlignment="1">
      <alignment horizontal="center" vertical="center"/>
    </xf>
    <xf numFmtId="0" fontId="0" fillId="0" borderId="0" xfId="0" applyFill="1"/>
    <xf numFmtId="0" fontId="0" fillId="0" borderId="18" xfId="0" applyFill="1" applyBorder="1" applyAlignment="1">
      <alignment horizontal="center" vertical="top"/>
    </xf>
    <xf numFmtId="0" fontId="2" fillId="0" borderId="1" xfId="0" applyFont="1" applyFill="1" applyBorder="1" applyAlignment="1">
      <alignment horizontal="center" vertical="center"/>
    </xf>
    <xf numFmtId="0" fontId="0" fillId="0" borderId="2" xfId="0" applyBorder="1" applyAlignment="1">
      <alignment horizontal="center" vertical="center"/>
    </xf>
    <xf numFmtId="0" fontId="55" fillId="0" borderId="12" xfId="0" applyFont="1" applyBorder="1" applyAlignment="1">
      <alignment vertical="top" wrapText="1"/>
    </xf>
    <xf numFmtId="0" fontId="55" fillId="0" borderId="7" xfId="0" applyFont="1" applyBorder="1" applyAlignment="1">
      <alignment vertical="top" wrapText="1"/>
    </xf>
    <xf numFmtId="0" fontId="55" fillId="0" borderId="7" xfId="0" applyFont="1" applyBorder="1" applyAlignment="1">
      <alignment vertical="justify" wrapText="1"/>
    </xf>
    <xf numFmtId="0" fontId="0" fillId="4" borderId="0" xfId="0" applyFill="1"/>
    <xf numFmtId="2" fontId="0" fillId="4" borderId="0" xfId="0" applyNumberFormat="1" applyFill="1"/>
    <xf numFmtId="0" fontId="18" fillId="4" borderId="0" xfId="0" applyFont="1" applyFill="1" applyBorder="1" applyAlignment="1">
      <alignment horizontal="center"/>
    </xf>
    <xf numFmtId="0" fontId="119" fillId="0" borderId="1" xfId="0" applyFont="1" applyBorder="1" applyAlignment="1">
      <alignment horizontal="justify" vertical="top" wrapText="1"/>
    </xf>
    <xf numFmtId="0" fontId="119" fillId="0" borderId="1" xfId="0" applyFont="1" applyBorder="1" applyAlignment="1">
      <alignment horizontal="center" vertical="center"/>
    </xf>
    <xf numFmtId="2" fontId="119" fillId="0" borderId="19" xfId="0" applyNumberFormat="1" applyFont="1" applyBorder="1" applyAlignment="1">
      <alignment horizontal="center" vertical="center"/>
    </xf>
    <xf numFmtId="0" fontId="119" fillId="0" borderId="1" xfId="0" applyFont="1" applyFill="1" applyBorder="1" applyAlignment="1">
      <alignment horizontal="center" vertical="center"/>
    </xf>
    <xf numFmtId="0" fontId="119" fillId="0" borderId="0" xfId="0" applyFont="1"/>
    <xf numFmtId="0" fontId="119" fillId="0" borderId="1" xfId="0" applyFont="1" applyBorder="1" applyAlignment="1">
      <alignment horizontal="center" vertical="top" wrapText="1"/>
    </xf>
    <xf numFmtId="2" fontId="0" fillId="0" borderId="1" xfId="0" applyNumberFormat="1" applyBorder="1" applyAlignment="1">
      <alignment horizontal="center" vertical="center"/>
    </xf>
    <xf numFmtId="0" fontId="120" fillId="5" borderId="18" xfId="0" applyFont="1" applyFill="1" applyBorder="1" applyAlignment="1">
      <alignment horizontal="center" vertical="top"/>
    </xf>
    <xf numFmtId="0" fontId="121" fillId="5" borderId="1" xfId="0" applyFont="1" applyFill="1" applyBorder="1" applyAlignment="1">
      <alignment horizontal="justify" vertical="top" wrapText="1"/>
    </xf>
    <xf numFmtId="0" fontId="120" fillId="5" borderId="1" xfId="0" applyFont="1" applyFill="1" applyBorder="1" applyAlignment="1">
      <alignment horizontal="center" vertical="center"/>
    </xf>
    <xf numFmtId="2" fontId="120" fillId="5" borderId="1" xfId="0" applyNumberFormat="1" applyFont="1" applyFill="1" applyBorder="1" applyAlignment="1">
      <alignment horizontal="center" vertical="center"/>
    </xf>
    <xf numFmtId="0" fontId="120" fillId="5" borderId="0" xfId="0" applyFont="1" applyFill="1"/>
    <xf numFmtId="0" fontId="18" fillId="0" borderId="2" xfId="0" applyFont="1" applyBorder="1" applyAlignment="1">
      <alignment horizontal="justify" vertical="justify" wrapText="1"/>
    </xf>
    <xf numFmtId="0" fontId="18" fillId="0" borderId="2" xfId="0" applyFont="1" applyBorder="1" applyAlignment="1">
      <alignment horizontal="justify" vertical="top" wrapText="1"/>
    </xf>
    <xf numFmtId="0" fontId="0" fillId="0" borderId="1" xfId="0" applyFill="1" applyBorder="1" applyAlignment="1">
      <alignment horizontal="center" vertical="top"/>
    </xf>
    <xf numFmtId="2" fontId="0" fillId="0" borderId="19" xfId="0" applyNumberFormat="1" applyBorder="1" applyAlignment="1">
      <alignment horizontal="center" vertical="top"/>
    </xf>
    <xf numFmtId="0" fontId="18" fillId="0" borderId="1" xfId="0" applyFont="1" applyBorder="1" applyAlignment="1">
      <alignment horizontal="left" vertical="top" wrapText="1"/>
    </xf>
    <xf numFmtId="0" fontId="0" fillId="0" borderId="1" xfId="0" applyBorder="1"/>
    <xf numFmtId="0" fontId="18" fillId="0" borderId="1" xfId="0" applyFont="1" applyFill="1" applyBorder="1" applyAlignment="1">
      <alignment horizontal="center"/>
    </xf>
    <xf numFmtId="0" fontId="0" fillId="0" borderId="1" xfId="0" applyBorder="1" applyAlignment="1">
      <alignment horizontal="justify" vertical="justify"/>
    </xf>
    <xf numFmtId="2" fontId="0" fillId="0" borderId="1" xfId="0" applyNumberFormat="1" applyBorder="1" applyAlignment="1">
      <alignment horizontal="center" vertical="top"/>
    </xf>
    <xf numFmtId="0" fontId="0" fillId="0" borderId="1" xfId="0" applyFill="1" applyBorder="1" applyAlignment="1">
      <alignment horizontal="justify" vertical="justify"/>
    </xf>
    <xf numFmtId="2" fontId="0" fillId="0" borderId="4" xfId="0" applyNumberFormat="1" applyBorder="1" applyAlignment="1">
      <alignment horizontal="center" vertical="top"/>
    </xf>
    <xf numFmtId="0" fontId="0" fillId="0" borderId="3" xfId="0" applyFill="1" applyBorder="1" applyAlignment="1">
      <alignment horizontal="justify" vertical="justify"/>
    </xf>
    <xf numFmtId="0" fontId="18" fillId="0" borderId="1" xfId="0" applyFont="1" applyBorder="1" applyAlignment="1">
      <alignment horizontal="justify" vertical="justify" wrapText="1"/>
    </xf>
    <xf numFmtId="0" fontId="119" fillId="0" borderId="1" xfId="0" applyFont="1" applyBorder="1" applyAlignment="1">
      <alignment horizontal="justify" vertical="top"/>
    </xf>
    <xf numFmtId="2" fontId="119" fillId="0" borderId="19" xfId="0" applyNumberFormat="1" applyFont="1" applyBorder="1" applyAlignment="1">
      <alignment horizontal="center" vertical="top"/>
    </xf>
    <xf numFmtId="0" fontId="119" fillId="0" borderId="1" xfId="0" applyFont="1" applyBorder="1"/>
    <xf numFmtId="2" fontId="119" fillId="0" borderId="1" xfId="0" applyNumberFormat="1" applyFont="1" applyBorder="1"/>
    <xf numFmtId="0" fontId="119" fillId="0" borderId="18" xfId="0" applyFont="1" applyFill="1" applyBorder="1" applyAlignment="1">
      <alignment horizontal="center" vertical="top"/>
    </xf>
    <xf numFmtId="2" fontId="0" fillId="0" borderId="0" xfId="0" applyNumberFormat="1" applyBorder="1" applyAlignment="1">
      <alignment horizontal="center" vertical="center"/>
    </xf>
    <xf numFmtId="0" fontId="0" fillId="3" borderId="18" xfId="0" applyFill="1" applyBorder="1" applyAlignment="1">
      <alignment horizontal="center" vertical="top"/>
    </xf>
    <xf numFmtId="0" fontId="18" fillId="3" borderId="1" xfId="0" applyFont="1" applyFill="1" applyBorder="1" applyAlignment="1">
      <alignment horizontal="justify" vertical="top" wrapText="1"/>
    </xf>
    <xf numFmtId="0" fontId="0" fillId="3" borderId="1" xfId="0" applyFill="1" applyBorder="1" applyAlignment="1">
      <alignment horizontal="center" vertical="center"/>
    </xf>
    <xf numFmtId="0" fontId="0" fillId="3" borderId="1" xfId="0" applyFill="1" applyBorder="1" applyAlignment="1">
      <alignment horizontal="justify" vertical="top" wrapText="1"/>
    </xf>
    <xf numFmtId="2" fontId="18" fillId="0" borderId="19" xfId="0" applyNumberFormat="1" applyFont="1" applyFill="1" applyBorder="1" applyAlignment="1">
      <alignment horizontal="center" vertical="center"/>
    </xf>
    <xf numFmtId="0" fontId="0" fillId="0" borderId="11" xfId="0" applyBorder="1" applyAlignment="1">
      <alignment horizontal="justify" vertical="top" wrapText="1"/>
    </xf>
    <xf numFmtId="0" fontId="18" fillId="0" borderId="2" xfId="0" applyFont="1" applyBorder="1" applyAlignment="1">
      <alignment wrapText="1"/>
    </xf>
    <xf numFmtId="0" fontId="18" fillId="0" borderId="3" xfId="0" applyFont="1" applyBorder="1" applyAlignment="1">
      <alignment wrapText="1"/>
    </xf>
    <xf numFmtId="0" fontId="2" fillId="0" borderId="3" xfId="0" applyFont="1" applyBorder="1" applyAlignment="1">
      <alignment horizontal="justify" vertical="top" wrapText="1"/>
    </xf>
    <xf numFmtId="0" fontId="0" fillId="0" borderId="0" xfId="0" applyAlignment="1">
      <alignment wrapText="1"/>
    </xf>
    <xf numFmtId="0" fontId="18" fillId="3" borderId="18" xfId="0" applyFont="1" applyFill="1" applyBorder="1" applyAlignment="1">
      <alignment horizontal="center"/>
    </xf>
    <xf numFmtId="2" fontId="119" fillId="3" borderId="19" xfId="0" applyNumberFormat="1" applyFont="1" applyFill="1" applyBorder="1" applyAlignment="1">
      <alignment horizontal="center" vertical="center"/>
    </xf>
    <xf numFmtId="0" fontId="2" fillId="3" borderId="18" xfId="0" applyFont="1" applyFill="1" applyBorder="1" applyAlignment="1">
      <alignment horizontal="center" vertical="top"/>
    </xf>
    <xf numFmtId="0" fontId="2" fillId="3" borderId="1" xfId="0" applyFont="1" applyFill="1" applyBorder="1" applyAlignment="1">
      <alignment horizontal="justify" vertical="top" wrapText="1"/>
    </xf>
    <xf numFmtId="0" fontId="2" fillId="3" borderId="1" xfId="0" applyFont="1" applyFill="1" applyBorder="1" applyAlignment="1">
      <alignment horizontal="center" vertical="center"/>
    </xf>
    <xf numFmtId="0" fontId="18" fillId="0" borderId="1" xfId="0" applyFont="1" applyFill="1" applyBorder="1" applyAlignment="1">
      <alignment horizontal="justify" vertical="top" wrapText="1"/>
    </xf>
    <xf numFmtId="0" fontId="4" fillId="0" borderId="0" xfId="0" applyFont="1" applyFill="1"/>
    <xf numFmtId="0" fontId="126" fillId="0" borderId="0" xfId="0" applyFont="1" applyFill="1"/>
    <xf numFmtId="1" fontId="22" fillId="0" borderId="2" xfId="0" quotePrefix="1" applyNumberFormat="1" applyFont="1" applyFill="1" applyBorder="1" applyAlignment="1">
      <alignment horizontal="center"/>
    </xf>
    <xf numFmtId="0" fontId="23" fillId="0" borderId="0" xfId="0" applyFont="1" applyFill="1" applyBorder="1" applyAlignment="1">
      <alignment horizontal="center"/>
    </xf>
    <xf numFmtId="0" fontId="4" fillId="0" borderId="3" xfId="0" applyFont="1" applyFill="1" applyBorder="1" applyAlignment="1">
      <alignment horizontal="center"/>
    </xf>
    <xf numFmtId="0" fontId="4" fillId="0" borderId="4" xfId="0" quotePrefix="1" applyFont="1" applyFill="1" applyBorder="1" applyAlignment="1">
      <alignment horizontal="center"/>
    </xf>
    <xf numFmtId="0" fontId="4" fillId="0" borderId="8" xfId="0" applyFont="1" applyFill="1" applyBorder="1" applyAlignment="1">
      <alignment horizontal="center"/>
    </xf>
    <xf numFmtId="0" fontId="11" fillId="0" borderId="6" xfId="0" applyFont="1" applyFill="1" applyBorder="1" applyAlignment="1">
      <alignment horizont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4" fillId="0" borderId="2" xfId="0" applyFont="1" applyFill="1" applyBorder="1"/>
    <xf numFmtId="2" fontId="22" fillId="0" borderId="2" xfId="0" applyNumberFormat="1" applyFont="1" applyFill="1" applyBorder="1" applyAlignment="1">
      <alignment horizontal="center" vertical="center" wrapText="1"/>
    </xf>
    <xf numFmtId="2" fontId="22" fillId="0" borderId="2" xfId="0" applyNumberFormat="1" applyFont="1" applyFill="1" applyBorder="1" applyAlignment="1">
      <alignment horizontal="center" vertical="center"/>
    </xf>
    <xf numFmtId="0" fontId="20" fillId="0" borderId="3" xfId="0" quotePrefix="1" applyFont="1" applyFill="1" applyBorder="1" applyAlignment="1">
      <alignment horizontal="center" vertical="center" wrapText="1"/>
    </xf>
    <xf numFmtId="0" fontId="20" fillId="0" borderId="3" xfId="0" applyFont="1" applyFill="1" applyBorder="1" applyAlignment="1">
      <alignment horizontal="center" vertical="center" wrapText="1"/>
    </xf>
    <xf numFmtId="2" fontId="21" fillId="0" borderId="3" xfId="0" applyNumberFormat="1" applyFont="1" applyFill="1" applyBorder="1" applyAlignment="1">
      <alignment horizontal="center"/>
    </xf>
    <xf numFmtId="0" fontId="20" fillId="0" borderId="3" xfId="0" applyFont="1" applyFill="1" applyBorder="1" applyAlignment="1">
      <alignment horizontal="center"/>
    </xf>
    <xf numFmtId="2" fontId="22" fillId="0" borderId="3" xfId="0" applyNumberFormat="1" applyFont="1" applyFill="1" applyBorder="1" applyAlignment="1">
      <alignment horizontal="center" vertical="center" wrapText="1"/>
    </xf>
    <xf numFmtId="2" fontId="22" fillId="0" borderId="3" xfId="0" applyNumberFormat="1" applyFont="1" applyFill="1" applyBorder="1" applyAlignment="1">
      <alignment horizontal="center"/>
    </xf>
    <xf numFmtId="0" fontId="4" fillId="0" borderId="3" xfId="0" applyFont="1" applyFill="1" applyBorder="1"/>
    <xf numFmtId="0" fontId="20" fillId="0" borderId="4" xfId="0" applyFont="1" applyFill="1" applyBorder="1" applyAlignment="1">
      <alignment horizontal="center" vertical="center" wrapText="1"/>
    </xf>
    <xf numFmtId="1" fontId="21" fillId="0" borderId="4" xfId="0" applyNumberFormat="1" applyFont="1" applyFill="1" applyBorder="1" applyAlignment="1">
      <alignment horizontal="center"/>
    </xf>
    <xf numFmtId="0" fontId="20" fillId="0" borderId="4" xfId="0" applyFont="1" applyFill="1" applyBorder="1" applyAlignment="1">
      <alignment horizontal="center"/>
    </xf>
    <xf numFmtId="2" fontId="22" fillId="0" borderId="4" xfId="0" applyNumberFormat="1" applyFont="1" applyFill="1" applyBorder="1" applyAlignment="1">
      <alignment horizontal="center" vertical="center" wrapText="1"/>
    </xf>
    <xf numFmtId="2" fontId="22" fillId="0" borderId="4" xfId="0" applyNumberFormat="1" applyFont="1" applyFill="1" applyBorder="1" applyAlignment="1">
      <alignment horizontal="center" vertical="center"/>
    </xf>
    <xf numFmtId="0" fontId="20" fillId="0" borderId="0" xfId="0" applyFont="1" applyFill="1"/>
    <xf numFmtId="0" fontId="30" fillId="0" borderId="0" xfId="0" applyFont="1" applyFill="1"/>
    <xf numFmtId="2" fontId="22" fillId="0" borderId="4" xfId="0" applyNumberFormat="1" applyFont="1" applyFill="1" applyBorder="1" applyAlignment="1">
      <alignment horizontal="center"/>
    </xf>
    <xf numFmtId="0" fontId="4" fillId="0" borderId="0" xfId="0" applyFont="1" applyFill="1" applyAlignment="1">
      <alignment horizontal="right"/>
    </xf>
    <xf numFmtId="2" fontId="22" fillId="0" borderId="1" xfId="0" applyNumberFormat="1" applyFont="1" applyFill="1" applyBorder="1" applyAlignment="1">
      <alignment horizontal="center"/>
    </xf>
    <xf numFmtId="0" fontId="4" fillId="0" borderId="6" xfId="0" applyFont="1" applyFill="1" applyBorder="1" applyAlignment="1">
      <alignment horizontal="right"/>
    </xf>
    <xf numFmtId="2" fontId="22" fillId="0" borderId="0" xfId="0" applyNumberFormat="1" applyFont="1" applyFill="1" applyBorder="1" applyAlignment="1">
      <alignment horizontal="center"/>
    </xf>
    <xf numFmtId="0" fontId="0" fillId="6" borderId="1" xfId="0" applyFill="1" applyBorder="1"/>
    <xf numFmtId="0" fontId="0" fillId="6" borderId="1" xfId="0" applyFill="1" applyBorder="1" applyAlignment="1">
      <alignment wrapText="1"/>
    </xf>
    <xf numFmtId="0" fontId="0" fillId="6" borderId="1" xfId="0" applyFill="1" applyBorder="1" applyAlignment="1">
      <alignment horizontal="center" vertical="center"/>
    </xf>
    <xf numFmtId="2" fontId="0" fillId="6" borderId="1" xfId="0" applyNumberFormat="1" applyFill="1" applyBorder="1" applyAlignment="1">
      <alignment horizontal="center" vertical="center"/>
    </xf>
    <xf numFmtId="2" fontId="18" fillId="0" borderId="1" xfId="0" applyNumberFormat="1" applyFont="1" applyBorder="1"/>
    <xf numFmtId="2" fontId="0" fillId="0" borderId="1" xfId="0" applyNumberFormat="1" applyBorder="1"/>
    <xf numFmtId="0" fontId="128" fillId="0" borderId="0" xfId="0" applyFont="1"/>
    <xf numFmtId="0" fontId="128" fillId="0" borderId="4" xfId="0" applyFont="1" applyBorder="1" applyAlignment="1">
      <alignment horizontal="center"/>
    </xf>
    <xf numFmtId="0" fontId="130" fillId="0" borderId="1" xfId="0" applyFont="1" applyBorder="1" applyAlignment="1">
      <alignment horizontal="center" vertical="center" wrapText="1"/>
    </xf>
    <xf numFmtId="0" fontId="130" fillId="0" borderId="2" xfId="0" applyFont="1" applyBorder="1" applyAlignment="1">
      <alignment horizontal="center" vertical="center" wrapText="1"/>
    </xf>
    <xf numFmtId="2" fontId="102" fillId="0" borderId="2" xfId="0" applyNumberFormat="1" applyFont="1" applyBorder="1" applyAlignment="1">
      <alignment horizontal="center" vertical="center" wrapText="1"/>
    </xf>
    <xf numFmtId="2" fontId="102" fillId="0" borderId="2" xfId="0" applyNumberFormat="1" applyFont="1" applyBorder="1" applyAlignment="1">
      <alignment horizontal="center" vertical="center"/>
    </xf>
    <xf numFmtId="0" fontId="130" fillId="0" borderId="3" xfId="0" applyFont="1" applyBorder="1" applyAlignment="1">
      <alignment horizontal="center"/>
    </xf>
    <xf numFmtId="2" fontId="102" fillId="0" borderId="3" xfId="0" applyNumberFormat="1" applyFont="1" applyBorder="1" applyAlignment="1">
      <alignment horizontal="center"/>
    </xf>
    <xf numFmtId="2" fontId="102" fillId="0" borderId="3" xfId="0" applyNumberFormat="1" applyFont="1" applyBorder="1" applyAlignment="1">
      <alignment horizontal="center" vertical="center"/>
    </xf>
    <xf numFmtId="2" fontId="102" fillId="0" borderId="4" xfId="0" applyNumberFormat="1" applyFont="1" applyBorder="1" applyAlignment="1">
      <alignment horizontal="center"/>
    </xf>
    <xf numFmtId="2" fontId="102" fillId="0" borderId="4" xfId="0" applyNumberFormat="1" applyFont="1" applyBorder="1" applyAlignment="1">
      <alignment horizontal="center" vertical="center"/>
    </xf>
    <xf numFmtId="0" fontId="130" fillId="0" borderId="0" xfId="0" applyFont="1"/>
    <xf numFmtId="2" fontId="102" fillId="0" borderId="1" xfId="0" applyNumberFormat="1" applyFont="1" applyBorder="1" applyAlignment="1">
      <alignment horizontal="center"/>
    </xf>
    <xf numFmtId="0" fontId="128" fillId="0" borderId="0" xfId="0" applyFont="1" applyAlignment="1">
      <alignment horizontal="right"/>
    </xf>
    <xf numFmtId="2" fontId="131" fillId="0" borderId="2" xfId="0" applyNumberFormat="1" applyFont="1" applyBorder="1" applyAlignment="1">
      <alignment horizontal="center"/>
    </xf>
    <xf numFmtId="2" fontId="131" fillId="0" borderId="3" xfId="0" applyNumberFormat="1" applyFont="1" applyBorder="1" applyAlignment="1">
      <alignment horizontal="center"/>
    </xf>
    <xf numFmtId="2" fontId="131" fillId="0" borderId="4" xfId="0" applyNumberFormat="1" applyFont="1" applyBorder="1" applyAlignment="1">
      <alignment horizontal="center"/>
    </xf>
    <xf numFmtId="0" fontId="132" fillId="0" borderId="0" xfId="0" applyFont="1"/>
    <xf numFmtId="2" fontId="102" fillId="0" borderId="6" xfId="0" applyNumberFormat="1" applyFont="1" applyBorder="1" applyAlignment="1">
      <alignment horizontal="center"/>
    </xf>
    <xf numFmtId="0" fontId="102" fillId="0" borderId="0" xfId="0" applyFont="1"/>
    <xf numFmtId="165" fontId="131" fillId="0" borderId="3" xfId="0" applyNumberFormat="1" applyFont="1" applyBorder="1" applyAlignment="1">
      <alignment horizontal="center"/>
    </xf>
    <xf numFmtId="0" fontId="128" fillId="0" borderId="2" xfId="0" applyFont="1" applyBorder="1" applyAlignment="1">
      <alignment horizontal="center"/>
    </xf>
    <xf numFmtId="0" fontId="128" fillId="0" borderId="3" xfId="0" applyFont="1" applyBorder="1"/>
    <xf numFmtId="2" fontId="102" fillId="0" borderId="4" xfId="0" applyNumberFormat="1" applyFont="1" applyBorder="1" applyAlignment="1">
      <alignment horizontal="center" vertical="center" wrapText="1"/>
    </xf>
    <xf numFmtId="0" fontId="128" fillId="0" borderId="2" xfId="0" applyFont="1" applyBorder="1"/>
    <xf numFmtId="0" fontId="130" fillId="0" borderId="4" xfId="0" applyFont="1" applyBorder="1" applyAlignment="1">
      <alignment horizontal="center" vertical="center" wrapText="1"/>
    </xf>
    <xf numFmtId="0" fontId="134" fillId="0" borderId="0" xfId="0" applyFont="1"/>
    <xf numFmtId="0" fontId="130" fillId="0" borderId="3" xfId="0" applyFont="1" applyBorder="1" applyAlignment="1">
      <alignment horizontal="center" vertical="center" wrapText="1"/>
    </xf>
    <xf numFmtId="0" fontId="57" fillId="0" borderId="2" xfId="0" applyFont="1" applyBorder="1"/>
    <xf numFmtId="2" fontId="102" fillId="0" borderId="3" xfId="0" applyNumberFormat="1" applyFont="1" applyBorder="1" applyAlignment="1">
      <alignment horizontal="center" vertical="center" wrapText="1"/>
    </xf>
    <xf numFmtId="1" fontId="102" fillId="0" borderId="2" xfId="0" applyNumberFormat="1" applyFont="1" applyBorder="1" applyAlignment="1">
      <alignment horizontal="center"/>
    </xf>
    <xf numFmtId="0" fontId="128" fillId="0" borderId="3" xfId="0" applyFont="1" applyBorder="1" applyAlignment="1">
      <alignment horizontal="center" vertical="center" wrapText="1"/>
    </xf>
    <xf numFmtId="0" fontId="128" fillId="0" borderId="3" xfId="0" applyFont="1" applyBorder="1" applyAlignment="1">
      <alignment horizontal="center"/>
    </xf>
    <xf numFmtId="0" fontId="57" fillId="0" borderId="3" xfId="0" applyFont="1" applyBorder="1"/>
    <xf numFmtId="0" fontId="131" fillId="0" borderId="0" xfId="0" applyFont="1" applyAlignment="1">
      <alignment horizontal="center"/>
    </xf>
    <xf numFmtId="165" fontId="131" fillId="0" borderId="4" xfId="0" applyNumberFormat="1" applyFont="1" applyBorder="1" applyAlignment="1">
      <alignment horizontal="center"/>
    </xf>
    <xf numFmtId="0" fontId="128" fillId="0" borderId="8" xfId="0" applyFont="1" applyBorder="1" applyAlignment="1">
      <alignment horizontal="center"/>
    </xf>
    <xf numFmtId="0" fontId="139" fillId="0" borderId="3" xfId="0" applyFont="1" applyBorder="1" applyAlignment="1">
      <alignment horizontal="center" vertical="center" wrapText="1"/>
    </xf>
    <xf numFmtId="0" fontId="129" fillId="0" borderId="3" xfId="0" applyFont="1" applyBorder="1" applyAlignment="1">
      <alignment horizontal="center" vertical="center" wrapText="1"/>
    </xf>
    <xf numFmtId="165" fontId="105" fillId="0" borderId="3" xfId="0" applyNumberFormat="1" applyFont="1" applyBorder="1" applyAlignment="1">
      <alignment horizontal="center"/>
    </xf>
    <xf numFmtId="165" fontId="105" fillId="0" borderId="4" xfId="0" applyNumberFormat="1" applyFont="1" applyBorder="1" applyAlignment="1">
      <alignment horizontal="center"/>
    </xf>
    <xf numFmtId="0" fontId="128" fillId="0" borderId="8" xfId="0" applyFont="1" applyBorder="1"/>
    <xf numFmtId="0" fontId="128" fillId="0" borderId="0" xfId="0" applyFont="1" applyBorder="1" applyAlignment="1">
      <alignment horizontal="center"/>
    </xf>
    <xf numFmtId="2" fontId="102" fillId="0" borderId="12" xfId="0" applyNumberFormat="1" applyFont="1" applyBorder="1" applyAlignment="1">
      <alignment horizontal="center"/>
    </xf>
    <xf numFmtId="0" fontId="72" fillId="4" borderId="1" xfId="0" applyFont="1" applyFill="1" applyBorder="1" applyAlignment="1">
      <alignment wrapText="1"/>
    </xf>
    <xf numFmtId="0" fontId="72" fillId="4" borderId="1" xfId="0" applyFont="1" applyFill="1" applyBorder="1" applyAlignment="1"/>
    <xf numFmtId="0" fontId="55" fillId="0" borderId="1" xfId="0" applyFont="1" applyBorder="1" applyAlignment="1">
      <alignment vertical="top" wrapText="1"/>
    </xf>
    <xf numFmtId="0" fontId="4" fillId="0" borderId="0" xfId="0" applyFont="1" applyFill="1" applyBorder="1" applyAlignment="1">
      <alignment horizontal="right"/>
    </xf>
    <xf numFmtId="0" fontId="5" fillId="4" borderId="0" xfId="0" applyFont="1" applyFill="1"/>
    <xf numFmtId="0" fontId="5" fillId="0" borderId="0" xfId="0" applyFont="1" applyFill="1"/>
    <xf numFmtId="0" fontId="63" fillId="0" borderId="3" xfId="0" applyFont="1" applyBorder="1" applyAlignment="1">
      <alignment horizontal="center"/>
    </xf>
    <xf numFmtId="0" fontId="145" fillId="0" borderId="0" xfId="0" applyFont="1" applyAlignment="1">
      <alignment horizontal="center"/>
    </xf>
    <xf numFmtId="0" fontId="146" fillId="0" borderId="0" xfId="0" applyFont="1" applyFill="1"/>
    <xf numFmtId="0" fontId="147" fillId="0" borderId="0" xfId="0" applyFont="1" applyFill="1" applyAlignment="1">
      <alignment horizontal="center"/>
    </xf>
    <xf numFmtId="4" fontId="112" fillId="0" borderId="0" xfId="0" applyNumberFormat="1" applyFont="1" applyAlignment="1">
      <alignment horizontal="center"/>
    </xf>
    <xf numFmtId="0" fontId="18" fillId="0" borderId="1" xfId="0" applyFont="1" applyBorder="1"/>
    <xf numFmtId="0" fontId="14" fillId="0" borderId="0" xfId="0" applyFont="1"/>
    <xf numFmtId="0" fontId="18" fillId="0" borderId="0" xfId="0" applyFont="1" applyFill="1" applyBorder="1"/>
    <xf numFmtId="0" fontId="4" fillId="0" borderId="4" xfId="0" applyFont="1" applyFill="1" applyBorder="1" applyAlignment="1">
      <alignment horizontal="center"/>
    </xf>
    <xf numFmtId="0" fontId="71" fillId="0" borderId="0" xfId="0" applyFont="1" applyFill="1" applyBorder="1" applyAlignment="1">
      <alignment horizontal="left"/>
    </xf>
    <xf numFmtId="0" fontId="5" fillId="0" borderId="4" xfId="0" applyFont="1" applyBorder="1" applyAlignment="1">
      <alignment horizontal="center"/>
    </xf>
    <xf numFmtId="0" fontId="149" fillId="0" borderId="1" xfId="0" applyFont="1" applyBorder="1" applyAlignment="1">
      <alignment horizontal="center"/>
    </xf>
    <xf numFmtId="0" fontId="5" fillId="9" borderId="1" xfId="0" applyFont="1" applyFill="1" applyBorder="1" applyAlignment="1">
      <alignment horizontal="center"/>
    </xf>
    <xf numFmtId="0" fontId="5" fillId="0" borderId="1" xfId="0" applyFont="1" applyBorder="1" applyAlignment="1">
      <alignment horizont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0" fillId="0" borderId="4" xfId="0" applyBorder="1" applyAlignment="1">
      <alignment horizontal="center" vertical="center"/>
    </xf>
    <xf numFmtId="0" fontId="20" fillId="0" borderId="3" xfId="0" applyFont="1" applyBorder="1" applyAlignment="1">
      <alignment horizontal="center" vertical="center" wrapText="1"/>
    </xf>
    <xf numFmtId="2" fontId="22" fillId="0" borderId="2" xfId="0" applyNumberFormat="1" applyFont="1" applyBorder="1" applyAlignment="1">
      <alignment horizontal="center" vertical="center"/>
    </xf>
    <xf numFmtId="2" fontId="22" fillId="0" borderId="3" xfId="0" applyNumberFormat="1" applyFont="1" applyBorder="1" applyAlignment="1">
      <alignment horizontal="center" vertical="center"/>
    </xf>
    <xf numFmtId="2" fontId="22" fillId="0" borderId="4" xfId="0" applyNumberFormat="1" applyFont="1" applyBorder="1" applyAlignment="1">
      <alignment horizontal="center" vertical="center"/>
    </xf>
    <xf numFmtId="0" fontId="0" fillId="0" borderId="3" xfId="0" applyBorder="1" applyAlignment="1">
      <alignment horizontal="center" vertical="center"/>
    </xf>
    <xf numFmtId="0" fontId="20" fillId="0" borderId="6" xfId="0" applyFont="1" applyBorder="1" applyAlignment="1">
      <alignment horizontal="center"/>
    </xf>
    <xf numFmtId="0" fontId="20" fillId="0" borderId="0" xfId="0" applyFont="1" applyAlignment="1">
      <alignment horizontal="center"/>
    </xf>
    <xf numFmtId="2" fontId="6" fillId="0" borderId="1" xfId="1" applyNumberFormat="1" applyFont="1" applyBorder="1" applyAlignment="1">
      <alignment horizontal="center"/>
    </xf>
    <xf numFmtId="2" fontId="32" fillId="0" borderId="7" xfId="0" quotePrefix="1" applyNumberFormat="1" applyFont="1" applyBorder="1" applyAlignment="1">
      <alignment horizontal="left"/>
    </xf>
    <xf numFmtId="0" fontId="20" fillId="0" borderId="2" xfId="0" applyFont="1" applyBorder="1" applyAlignment="1">
      <alignment horizontal="center" vertical="center" wrapText="1"/>
    </xf>
    <xf numFmtId="2" fontId="22" fillId="0" borderId="2" xfId="0" applyNumberFormat="1" applyFont="1" applyBorder="1" applyAlignment="1">
      <alignment horizontal="center" vertical="center"/>
    </xf>
    <xf numFmtId="2" fontId="22" fillId="0" borderId="4" xfId="0" applyNumberFormat="1" applyFont="1" applyBorder="1" applyAlignment="1">
      <alignment horizontal="center" vertical="center"/>
    </xf>
    <xf numFmtId="2" fontId="22" fillId="0" borderId="3" xfId="0" applyNumberFormat="1" applyFont="1" applyBorder="1" applyAlignment="1">
      <alignment horizontal="center" vertical="center"/>
    </xf>
    <xf numFmtId="2" fontId="6" fillId="0" borderId="2" xfId="1" applyNumberFormat="1" applyFont="1" applyBorder="1" applyAlignment="1">
      <alignment horizontal="center"/>
    </xf>
    <xf numFmtId="2" fontId="6" fillId="0" borderId="4" xfId="1" applyNumberFormat="1" applyFont="1" applyBorder="1" applyAlignment="1">
      <alignment horizontal="center"/>
    </xf>
    <xf numFmtId="2" fontId="6" fillId="0" borderId="3" xfId="1" applyNumberFormat="1" applyFont="1" applyBorder="1" applyAlignment="1">
      <alignment horizontal="center"/>
    </xf>
    <xf numFmtId="0" fontId="157" fillId="0" borderId="4" xfId="0" applyFont="1" applyBorder="1" applyAlignment="1">
      <alignment horizontal="center"/>
    </xf>
    <xf numFmtId="0" fontId="20" fillId="0" borderId="11" xfId="0" applyFont="1" applyBorder="1" applyAlignment="1">
      <alignment horizontal="center"/>
    </xf>
    <xf numFmtId="0" fontId="20" fillId="0" borderId="8" xfId="0" applyFont="1" applyBorder="1" applyAlignment="1">
      <alignment vertical="center"/>
    </xf>
    <xf numFmtId="0" fontId="20" fillId="0" borderId="1" xfId="0" applyFont="1" applyBorder="1" applyAlignment="1">
      <alignment vertical="center"/>
    </xf>
    <xf numFmtId="166" fontId="21" fillId="0" borderId="1" xfId="0" applyNumberFormat="1" applyFont="1" applyBorder="1" applyAlignment="1">
      <alignment horizontal="center"/>
    </xf>
    <xf numFmtId="0" fontId="20" fillId="0" borderId="1" xfId="0" quotePrefix="1" applyFont="1" applyBorder="1" applyAlignment="1">
      <alignment horizontal="center" vertical="center" wrapText="1"/>
    </xf>
    <xf numFmtId="164" fontId="21" fillId="0" borderId="1" xfId="0" applyNumberFormat="1" applyFont="1" applyBorder="1" applyAlignment="1">
      <alignment horizontal="center" vertical="center"/>
    </xf>
    <xf numFmtId="0" fontId="4" fillId="0" borderId="8" xfId="0" quotePrefix="1" applyFont="1" applyBorder="1" applyAlignment="1">
      <alignment horizontal="center"/>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2" fontId="22" fillId="0" borderId="2" xfId="0" applyNumberFormat="1" applyFont="1" applyBorder="1" applyAlignment="1">
      <alignment horizontal="center" vertical="center"/>
    </xf>
    <xf numFmtId="2" fontId="22" fillId="0" borderId="3" xfId="0" applyNumberFormat="1" applyFont="1" applyBorder="1" applyAlignment="1">
      <alignment horizontal="center" vertical="center"/>
    </xf>
    <xf numFmtId="2" fontId="22" fillId="0" borderId="4" xfId="0" applyNumberFormat="1" applyFont="1" applyBorder="1" applyAlignment="1">
      <alignment horizontal="center" vertical="center"/>
    </xf>
    <xf numFmtId="0" fontId="4" fillId="0" borderId="2" xfId="0" applyFont="1" applyBorder="1" applyAlignment="1">
      <alignment horizontal="center" vertical="center" wrapText="1"/>
    </xf>
    <xf numFmtId="166" fontId="22" fillId="0" borderId="4" xfId="0" applyNumberFormat="1" applyFont="1" applyBorder="1" applyAlignment="1">
      <alignment horizont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2" fontId="21" fillId="0" borderId="2" xfId="0" applyNumberFormat="1" applyFont="1" applyBorder="1" applyAlignment="1">
      <alignment horizontal="center" vertical="center"/>
    </xf>
    <xf numFmtId="2" fontId="22" fillId="0" borderId="2" xfId="0" applyNumberFormat="1" applyFont="1" applyBorder="1" applyAlignment="1">
      <alignment horizontal="center" vertical="center"/>
    </xf>
    <xf numFmtId="2" fontId="22" fillId="0" borderId="4" xfId="0" applyNumberFormat="1" applyFont="1" applyBorder="1" applyAlignment="1">
      <alignment horizontal="center" vertical="center"/>
    </xf>
    <xf numFmtId="2" fontId="22" fillId="0" borderId="3" xfId="0" applyNumberFormat="1" applyFont="1" applyBorder="1" applyAlignment="1">
      <alignment horizontal="center" vertical="center"/>
    </xf>
    <xf numFmtId="0" fontId="162" fillId="0" borderId="2" xfId="0" applyFont="1" applyBorder="1" applyAlignment="1">
      <alignment horizontal="center"/>
    </xf>
    <xf numFmtId="0" fontId="4" fillId="0" borderId="3" xfId="0" quotePrefix="1" applyFont="1" applyBorder="1" applyAlignment="1">
      <alignment horizontal="center"/>
    </xf>
    <xf numFmtId="0" fontId="20" fillId="0" borderId="1" xfId="0" applyFont="1" applyBorder="1" applyAlignment="1">
      <alignment vertical="center" wrapText="1"/>
    </xf>
    <xf numFmtId="0" fontId="164" fillId="0" borderId="0" xfId="0" applyFont="1"/>
    <xf numFmtId="1" fontId="165" fillId="0" borderId="1" xfId="0" applyNumberFormat="1" applyFont="1" applyBorder="1" applyAlignment="1">
      <alignment horizontal="center"/>
    </xf>
    <xf numFmtId="0" fontId="162" fillId="0" borderId="1" xfId="0" applyFont="1" applyBorder="1" applyAlignment="1">
      <alignment horizontal="center" vertical="center" wrapText="1"/>
    </xf>
    <xf numFmtId="0" fontId="162" fillId="0" borderId="2" xfId="0" applyFont="1" applyBorder="1" applyAlignment="1">
      <alignment horizontal="center" vertical="center" wrapText="1"/>
    </xf>
    <xf numFmtId="2" fontId="165" fillId="0" borderId="2" xfId="0" applyNumberFormat="1" applyFont="1" applyBorder="1" applyAlignment="1">
      <alignment horizontal="center" vertical="center" wrapText="1"/>
    </xf>
    <xf numFmtId="2" fontId="165" fillId="0" borderId="2" xfId="0" applyNumberFormat="1" applyFont="1" applyBorder="1" applyAlignment="1">
      <alignment horizontal="center"/>
    </xf>
    <xf numFmtId="2" fontId="165" fillId="0" borderId="2" xfId="0" applyNumberFormat="1" applyFont="1" applyBorder="1" applyAlignment="1">
      <alignment horizontal="center" vertical="center"/>
    </xf>
    <xf numFmtId="0" fontId="162" fillId="0" borderId="3" xfId="0" applyFont="1" applyBorder="1" applyAlignment="1">
      <alignment horizontal="center"/>
    </xf>
    <xf numFmtId="2" fontId="165" fillId="0" borderId="3" xfId="0" applyNumberFormat="1" applyFont="1" applyBorder="1" applyAlignment="1">
      <alignment horizontal="center"/>
    </xf>
    <xf numFmtId="2" fontId="165" fillId="0" borderId="3" xfId="0" applyNumberFormat="1" applyFont="1" applyBorder="1" applyAlignment="1">
      <alignment horizontal="center" vertical="center"/>
    </xf>
    <xf numFmtId="0" fontId="166" fillId="0" borderId="2" xfId="0" applyFont="1" applyBorder="1" applyAlignment="1">
      <alignment horizontal="center"/>
    </xf>
    <xf numFmtId="0" fontId="162" fillId="0" borderId="4" xfId="0" applyFont="1" applyBorder="1" applyAlignment="1">
      <alignment horizontal="center"/>
    </xf>
    <xf numFmtId="166" fontId="166" fillId="0" borderId="4" xfId="0" applyNumberFormat="1" applyFont="1" applyBorder="1" applyAlignment="1">
      <alignment horizontal="center"/>
    </xf>
    <xf numFmtId="2" fontId="165" fillId="0" borderId="4" xfId="0" applyNumberFormat="1" applyFont="1" applyBorder="1" applyAlignment="1">
      <alignment horizontal="center"/>
    </xf>
    <xf numFmtId="2" fontId="165" fillId="0" borderId="4" xfId="0" applyNumberFormat="1" applyFont="1" applyBorder="1" applyAlignment="1">
      <alignment horizontal="center" vertical="center"/>
    </xf>
    <xf numFmtId="0" fontId="162" fillId="0" borderId="0" xfId="0" applyFont="1"/>
    <xf numFmtId="2" fontId="165" fillId="0" borderId="1" xfId="0" applyNumberFormat="1" applyFont="1" applyBorder="1" applyAlignment="1">
      <alignment horizontal="center"/>
    </xf>
    <xf numFmtId="0" fontId="164" fillId="0" borderId="0" xfId="0" applyFont="1" applyAlignment="1">
      <alignment horizontal="right"/>
    </xf>
    <xf numFmtId="0" fontId="164" fillId="0" borderId="0" xfId="0" applyFont="1" applyBorder="1"/>
    <xf numFmtId="0" fontId="166" fillId="0" borderId="0" xfId="0" applyFont="1" applyBorder="1" applyAlignment="1">
      <alignment horizontal="center"/>
    </xf>
    <xf numFmtId="2" fontId="166" fillId="0" borderId="2" xfId="0" applyNumberFormat="1" applyFont="1" applyBorder="1" applyAlignment="1">
      <alignment horizontal="center"/>
    </xf>
    <xf numFmtId="2" fontId="166" fillId="0" borderId="3" xfId="0" applyNumberFormat="1" applyFont="1" applyBorder="1" applyAlignment="1">
      <alignment horizontal="center"/>
    </xf>
    <xf numFmtId="2" fontId="166" fillId="0" borderId="4" xfId="0" applyNumberFormat="1" applyFont="1" applyBorder="1" applyAlignment="1">
      <alignment horizontal="center"/>
    </xf>
    <xf numFmtId="0" fontId="164" fillId="0" borderId="0" xfId="0" applyFont="1" applyAlignment="1">
      <alignment horizontal="center"/>
    </xf>
    <xf numFmtId="0" fontId="167" fillId="0" borderId="0" xfId="0" applyFont="1"/>
    <xf numFmtId="2" fontId="165" fillId="0" borderId="6" xfId="0" applyNumberFormat="1" applyFont="1" applyBorder="1" applyAlignment="1">
      <alignment horizontal="center"/>
    </xf>
    <xf numFmtId="0" fontId="165" fillId="0" borderId="0" xfId="0" applyFont="1" applyAlignment="1">
      <alignment horizontal="right"/>
    </xf>
    <xf numFmtId="0" fontId="165" fillId="0" borderId="0" xfId="0" applyFont="1" applyAlignment="1">
      <alignment horizontal="center"/>
    </xf>
    <xf numFmtId="0" fontId="165" fillId="0" borderId="0" xfId="0" applyFont="1"/>
    <xf numFmtId="0" fontId="168" fillId="0" borderId="0" xfId="0" applyFont="1"/>
    <xf numFmtId="165" fontId="166" fillId="0" borderId="2" xfId="0" applyNumberFormat="1" applyFont="1" applyBorder="1" applyAlignment="1">
      <alignment horizontal="center"/>
    </xf>
    <xf numFmtId="165" fontId="166" fillId="0" borderId="3" xfId="0" applyNumberFormat="1" applyFont="1" applyBorder="1" applyAlignment="1">
      <alignment horizontal="center"/>
    </xf>
    <xf numFmtId="0" fontId="162" fillId="0" borderId="2" xfId="0" applyFont="1" applyBorder="1" applyAlignment="1">
      <alignment horizontal="center" vertical="center"/>
    </xf>
    <xf numFmtId="0" fontId="162" fillId="0" borderId="3" xfId="0" applyFont="1" applyBorder="1" applyAlignment="1">
      <alignment horizontal="center" vertical="center"/>
    </xf>
    <xf numFmtId="0" fontId="166" fillId="0" borderId="3" xfId="0" applyFont="1" applyBorder="1" applyAlignment="1">
      <alignment horizontal="center"/>
    </xf>
    <xf numFmtId="0" fontId="162" fillId="0" borderId="4" xfId="0" applyFont="1" applyBorder="1" applyAlignment="1">
      <alignment horizontal="center" vertical="center"/>
    </xf>
    <xf numFmtId="0" fontId="171" fillId="0" borderId="0" xfId="0" applyFont="1"/>
    <xf numFmtId="0" fontId="159" fillId="0" borderId="0" xfId="0" applyFont="1" applyAlignment="1">
      <alignment horizontal="center"/>
    </xf>
    <xf numFmtId="0" fontId="162" fillId="0" borderId="0" xfId="0" applyFont="1" applyAlignment="1">
      <alignment horizontal="center"/>
    </xf>
    <xf numFmtId="0" fontId="161" fillId="0" borderId="0" xfId="0" applyFont="1" applyAlignment="1">
      <alignment horizontal="center"/>
    </xf>
    <xf numFmtId="0" fontId="167" fillId="0" borderId="4" xfId="0" applyFont="1" applyBorder="1" applyAlignment="1">
      <alignment horizontal="center" vertical="center"/>
    </xf>
    <xf numFmtId="0" fontId="164" fillId="0" borderId="3" xfId="0" applyFont="1" applyBorder="1"/>
    <xf numFmtId="2" fontId="165" fillId="0" borderId="0" xfId="0" applyNumberFormat="1" applyFont="1" applyAlignment="1">
      <alignment horizontal="center"/>
    </xf>
    <xf numFmtId="1" fontId="22" fillId="11" borderId="1" xfId="0" applyNumberFormat="1" applyFont="1" applyFill="1" applyBorder="1" applyAlignment="1">
      <alignment horizontal="center"/>
    </xf>
    <xf numFmtId="2" fontId="172" fillId="0" borderId="0" xfId="0" applyNumberFormat="1" applyFont="1" applyAlignment="1">
      <alignment horizontal="center"/>
    </xf>
    <xf numFmtId="2" fontId="174" fillId="0" borderId="4" xfId="0" applyNumberFormat="1" applyFont="1" applyBorder="1" applyAlignment="1">
      <alignment horizontal="center"/>
    </xf>
    <xf numFmtId="0" fontId="168" fillId="0" borderId="0" xfId="0" applyFont="1" applyAlignment="1">
      <alignment horizontal="left" vertical="center"/>
    </xf>
    <xf numFmtId="0" fontId="161" fillId="0" borderId="0" xfId="0" applyFont="1" applyAlignment="1">
      <alignment horizontal="center" vertical="center"/>
    </xf>
    <xf numFmtId="0" fontId="4" fillId="0" borderId="2" xfId="0" applyFont="1" applyBorder="1" applyAlignment="1">
      <alignment horizontal="center" vertical="top" wrapText="1"/>
    </xf>
    <xf numFmtId="2" fontId="9" fillId="0" borderId="2" xfId="0" applyNumberFormat="1" applyFont="1" applyBorder="1"/>
    <xf numFmtId="2" fontId="15" fillId="0" borderId="4" xfId="0" applyNumberFormat="1" applyFont="1" applyBorder="1" applyAlignment="1">
      <alignment horizontal="center"/>
    </xf>
    <xf numFmtId="2" fontId="165" fillId="0" borderId="2" xfId="0" applyNumberFormat="1" applyFont="1" applyBorder="1" applyAlignment="1">
      <alignment horizontal="center" wrapText="1"/>
    </xf>
    <xf numFmtId="2" fontId="4" fillId="0" borderId="4" xfId="0" applyNumberFormat="1" applyFont="1" applyBorder="1" applyAlignment="1">
      <alignment horizontal="center"/>
    </xf>
    <xf numFmtId="0" fontId="20" fillId="0" borderId="2" xfId="0" applyFont="1" applyBorder="1" applyAlignment="1">
      <alignment horizontal="center" vertical="center" wrapText="1"/>
    </xf>
    <xf numFmtId="0" fontId="10" fillId="0" borderId="0" xfId="0" quotePrefix="1" applyFont="1" applyAlignment="1">
      <alignment horizontal="center"/>
    </xf>
    <xf numFmtId="0" fontId="20"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0" fillId="0" borderId="3" xfId="0" applyFont="1" applyBorder="1" applyAlignment="1">
      <alignment horizontal="center" vertical="center" wrapText="1"/>
    </xf>
    <xf numFmtId="2" fontId="21" fillId="0" borderId="2" xfId="0" applyNumberFormat="1" applyFont="1" applyBorder="1" applyAlignment="1">
      <alignment horizontal="center" vertical="center"/>
    </xf>
    <xf numFmtId="2" fontId="22" fillId="0" borderId="2" xfId="0" applyNumberFormat="1" applyFont="1" applyBorder="1" applyAlignment="1">
      <alignment horizontal="center" vertical="center"/>
    </xf>
    <xf numFmtId="2" fontId="22" fillId="0" borderId="4" xfId="0" applyNumberFormat="1" applyFont="1" applyBorder="1" applyAlignment="1">
      <alignment horizontal="center" vertical="center"/>
    </xf>
    <xf numFmtId="2" fontId="22" fillId="0" borderId="3" xfId="0" applyNumberFormat="1" applyFont="1" applyBorder="1" applyAlignment="1">
      <alignment horizontal="center" vertical="center"/>
    </xf>
    <xf numFmtId="0" fontId="17" fillId="0" borderId="1" xfId="0" applyFont="1" applyBorder="1" applyAlignment="1">
      <alignment horizont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2" fontId="22" fillId="0" borderId="2" xfId="0" applyNumberFormat="1" applyFont="1" applyBorder="1" applyAlignment="1">
      <alignment horizontal="center" vertical="center"/>
    </xf>
    <xf numFmtId="2" fontId="22" fillId="0" borderId="3" xfId="0" applyNumberFormat="1" applyFont="1" applyBorder="1" applyAlignment="1">
      <alignment horizontal="center" vertical="center"/>
    </xf>
    <xf numFmtId="2" fontId="22" fillId="0" borderId="4" xfId="0" applyNumberFormat="1" applyFont="1" applyBorder="1" applyAlignment="1">
      <alignment horizontal="center" vertical="center"/>
    </xf>
    <xf numFmtId="0" fontId="4" fillId="0" borderId="4" xfId="0" applyFont="1" applyBorder="1" applyAlignment="1">
      <alignment horizontal="center" wrapText="1"/>
    </xf>
    <xf numFmtId="1" fontId="22" fillId="0" borderId="1" xfId="0" applyNumberFormat="1" applyFont="1" applyFill="1" applyBorder="1" applyAlignment="1">
      <alignment horizontal="center"/>
    </xf>
    <xf numFmtId="2" fontId="21" fillId="0" borderId="2" xfId="0" applyNumberFormat="1" applyFont="1" applyFill="1" applyBorder="1" applyAlignment="1">
      <alignment horizontal="center"/>
    </xf>
    <xf numFmtId="0" fontId="20" fillId="0" borderId="2" xfId="0" applyFont="1" applyFill="1" applyBorder="1" applyAlignment="1">
      <alignment horizontal="center"/>
    </xf>
    <xf numFmtId="2" fontId="22" fillId="0" borderId="3" xfId="0" applyNumberFormat="1" applyFont="1" applyFill="1" applyBorder="1" applyAlignment="1">
      <alignment horizontal="center" vertical="center"/>
    </xf>
    <xf numFmtId="2" fontId="21" fillId="0" borderId="2" xfId="0" applyNumberFormat="1" applyFont="1" applyFill="1" applyBorder="1" applyAlignment="1">
      <alignment horizontal="center" vertical="center"/>
    </xf>
    <xf numFmtId="2" fontId="21" fillId="0" borderId="3" xfId="0" applyNumberFormat="1" applyFont="1" applyFill="1" applyBorder="1" applyAlignment="1">
      <alignment horizontal="center" vertical="center"/>
    </xf>
    <xf numFmtId="2" fontId="21" fillId="0" borderId="4" xfId="0" applyNumberFormat="1" applyFont="1" applyFill="1" applyBorder="1" applyAlignment="1">
      <alignment horizontal="center"/>
    </xf>
    <xf numFmtId="2" fontId="22" fillId="0" borderId="6" xfId="0" applyNumberFormat="1" applyFont="1" applyFill="1" applyBorder="1" applyAlignment="1">
      <alignment horizontal="center"/>
    </xf>
    <xf numFmtId="0" fontId="22" fillId="0" borderId="1" xfId="0" applyFont="1" applyFill="1" applyBorder="1" applyAlignment="1">
      <alignment horizontal="center"/>
    </xf>
    <xf numFmtId="0" fontId="21" fillId="0" borderId="3" xfId="0" quotePrefix="1" applyFont="1" applyBorder="1" applyAlignment="1">
      <alignment horizontal="center"/>
    </xf>
    <xf numFmtId="0" fontId="18" fillId="0" borderId="4" xfId="0" applyFont="1" applyBorder="1" applyAlignment="1">
      <alignment horizontal="center"/>
    </xf>
    <xf numFmtId="165" fontId="21" fillId="0" borderId="1" xfId="0" applyNumberFormat="1" applyFont="1" applyBorder="1" applyAlignment="1">
      <alignment horizont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2" fontId="22" fillId="0" borderId="2" xfId="0" applyNumberFormat="1" applyFont="1" applyBorder="1" applyAlignment="1">
      <alignment horizontal="center" vertical="center"/>
    </xf>
    <xf numFmtId="2" fontId="22" fillId="0" borderId="4" xfId="0" applyNumberFormat="1" applyFont="1" applyBorder="1" applyAlignment="1">
      <alignment horizontal="center" vertical="center"/>
    </xf>
    <xf numFmtId="2" fontId="22" fillId="0" borderId="3" xfId="0" applyNumberFormat="1" applyFont="1" applyBorder="1" applyAlignment="1">
      <alignment horizontal="center" vertic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2" fontId="22" fillId="0" borderId="2" xfId="0" applyNumberFormat="1" applyFont="1" applyBorder="1" applyAlignment="1">
      <alignment horizontal="center" vertical="center"/>
    </xf>
    <xf numFmtId="2" fontId="22" fillId="0" borderId="4" xfId="0" applyNumberFormat="1" applyFont="1" applyBorder="1" applyAlignment="1">
      <alignment horizontal="center" vertical="center"/>
    </xf>
    <xf numFmtId="0" fontId="77" fillId="0" borderId="1" xfId="0" applyFont="1" applyBorder="1" applyAlignment="1">
      <alignment horizontal="left" wrapText="1"/>
    </xf>
    <xf numFmtId="2" fontId="22" fillId="0" borderId="2" xfId="0" applyNumberFormat="1" applyFont="1" applyBorder="1"/>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2" fontId="22" fillId="0" borderId="2" xfId="0" applyNumberFormat="1" applyFont="1" applyBorder="1" applyAlignment="1">
      <alignment horizontal="center" vertical="center"/>
    </xf>
    <xf numFmtId="2" fontId="22" fillId="0" borderId="4" xfId="0" applyNumberFormat="1" applyFont="1" applyBorder="1" applyAlignment="1">
      <alignment horizontal="center" vertical="center"/>
    </xf>
    <xf numFmtId="0" fontId="18" fillId="0" borderId="4" xfId="0" applyFont="1" applyBorder="1" applyAlignment="1">
      <alignment horizontal="center" vertical="center" wrapText="1"/>
    </xf>
    <xf numFmtId="0" fontId="5" fillId="10" borderId="1" xfId="0" applyFont="1" applyFill="1" applyBorder="1" applyAlignment="1">
      <alignment horizontal="center"/>
    </xf>
    <xf numFmtId="0" fontId="55" fillId="9" borderId="1" xfId="0" applyFont="1" applyFill="1" applyBorder="1" applyAlignment="1">
      <alignment horizontal="left" wrapText="1"/>
    </xf>
    <xf numFmtId="0" fontId="15" fillId="9" borderId="1" xfId="0" applyFont="1" applyFill="1" applyBorder="1" applyAlignment="1">
      <alignment horizontal="center" wrapText="1"/>
    </xf>
    <xf numFmtId="2" fontId="73" fillId="0" borderId="1" xfId="0" applyNumberFormat="1" applyFont="1" applyBorder="1" applyAlignment="1">
      <alignment horizontal="center"/>
    </xf>
    <xf numFmtId="0" fontId="55" fillId="0" borderId="1" xfId="0" applyFont="1" applyBorder="1" applyAlignment="1">
      <alignment horizontal="center"/>
    </xf>
    <xf numFmtId="0" fontId="141" fillId="0" borderId="1" xfId="0" applyFont="1" applyBorder="1" applyAlignment="1">
      <alignment horizontal="center"/>
    </xf>
    <xf numFmtId="0" fontId="155" fillId="0" borderId="1" xfId="0" applyFont="1" applyBorder="1" applyAlignment="1">
      <alignment horizontal="center"/>
    </xf>
    <xf numFmtId="0" fontId="155" fillId="0" borderId="1" xfId="0" applyFont="1" applyFill="1" applyBorder="1" applyAlignment="1">
      <alignment horizontal="center"/>
    </xf>
    <xf numFmtId="2" fontId="22" fillId="0" borderId="15" xfId="0" applyNumberFormat="1" applyFont="1" applyFill="1" applyBorder="1" applyAlignment="1">
      <alignment horizontal="center"/>
    </xf>
    <xf numFmtId="2" fontId="22" fillId="0" borderId="13" xfId="0" applyNumberFormat="1" applyFont="1" applyFill="1" applyBorder="1" applyAlignment="1">
      <alignment horizontal="center"/>
    </xf>
    <xf numFmtId="0" fontId="15" fillId="0" borderId="1" xfId="0" applyFont="1" applyBorder="1" applyAlignment="1">
      <alignment horizontal="center" vertical="top" wrapText="1"/>
    </xf>
    <xf numFmtId="0" fontId="20" fillId="0" borderId="2" xfId="0" applyFont="1" applyBorder="1" applyAlignment="1">
      <alignment horizontal="center" vertical="center" wrapText="1"/>
    </xf>
    <xf numFmtId="0" fontId="10" fillId="0" borderId="0" xfId="0" applyFont="1" applyAlignment="1">
      <alignment horizontal="center"/>
    </xf>
    <xf numFmtId="0" fontId="20" fillId="0" borderId="4" xfId="0" applyFont="1" applyBorder="1" applyAlignment="1">
      <alignment horizontal="center" vertical="center" wrapText="1"/>
    </xf>
    <xf numFmtId="0" fontId="0" fillId="0" borderId="0" xfId="0"/>
    <xf numFmtId="0" fontId="20" fillId="0" borderId="3" xfId="0" applyFont="1" applyBorder="1" applyAlignment="1">
      <alignment horizontal="center" vertical="center" wrapText="1"/>
    </xf>
    <xf numFmtId="2" fontId="21" fillId="0" borderId="2" xfId="0" applyNumberFormat="1" applyFont="1" applyBorder="1" applyAlignment="1">
      <alignment horizontal="center" vertical="center"/>
    </xf>
    <xf numFmtId="2" fontId="22" fillId="0" borderId="2" xfId="0" applyNumberFormat="1" applyFont="1" applyBorder="1" applyAlignment="1">
      <alignment horizontal="center" vertical="center"/>
    </xf>
    <xf numFmtId="2" fontId="22" fillId="0" borderId="4" xfId="0" applyNumberFormat="1" applyFont="1" applyBorder="1" applyAlignment="1">
      <alignment horizontal="center" vertical="center"/>
    </xf>
    <xf numFmtId="2" fontId="22" fillId="0" borderId="3" xfId="0" applyNumberFormat="1" applyFont="1" applyBorder="1" applyAlignment="1">
      <alignment horizontal="center" vertical="center"/>
    </xf>
    <xf numFmtId="0" fontId="15" fillId="0" borderId="1" xfId="0" applyFont="1" applyBorder="1" applyAlignment="1">
      <alignment horizontal="left" vertical="top" wrapText="1"/>
    </xf>
    <xf numFmtId="2" fontId="22" fillId="0" borderId="1" xfId="0" applyNumberFormat="1" applyFont="1" applyFill="1" applyBorder="1" applyAlignment="1">
      <alignment horizontal="center" vertical="center"/>
    </xf>
    <xf numFmtId="165" fontId="21" fillId="0" borderId="1" xfId="0" applyNumberFormat="1" applyFont="1" applyBorder="1" applyAlignment="1">
      <alignment horizontal="center" vertical="center"/>
    </xf>
    <xf numFmtId="0" fontId="10" fillId="0" borderId="0" xfId="0" applyFont="1"/>
    <xf numFmtId="0" fontId="10" fillId="0" borderId="0" xfId="0" applyFont="1" applyAlignment="1">
      <alignment horizont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xf>
    <xf numFmtId="0" fontId="20" fillId="0" borderId="3" xfId="0" applyFont="1" applyBorder="1" applyAlignment="1">
      <alignment horizontal="center" vertical="center" wrapText="1"/>
    </xf>
    <xf numFmtId="0" fontId="20" fillId="0" borderId="2" xfId="0" applyFont="1" applyBorder="1" applyAlignment="1">
      <alignment vertical="center"/>
    </xf>
    <xf numFmtId="2" fontId="21" fillId="0" borderId="2" xfId="0" applyNumberFormat="1" applyFont="1" applyBorder="1" applyAlignment="1">
      <alignment horizontal="center" vertical="center"/>
    </xf>
    <xf numFmtId="2" fontId="21" fillId="0" borderId="4" xfId="0" applyNumberFormat="1" applyFont="1" applyBorder="1" applyAlignment="1">
      <alignment horizontal="center" vertical="center"/>
    </xf>
    <xf numFmtId="2" fontId="22" fillId="0" borderId="2" xfId="0" applyNumberFormat="1" applyFont="1" applyBorder="1" applyAlignment="1">
      <alignment horizontal="center" vertical="center"/>
    </xf>
    <xf numFmtId="2" fontId="22" fillId="0" borderId="4" xfId="0" applyNumberFormat="1" applyFont="1" applyBorder="1" applyAlignment="1">
      <alignment horizontal="center" vertical="center"/>
    </xf>
    <xf numFmtId="2" fontId="21" fillId="0" borderId="2" xfId="0" applyNumberFormat="1" applyFont="1" applyBorder="1" applyAlignment="1">
      <alignment horizontal="center" vertical="center"/>
    </xf>
    <xf numFmtId="2" fontId="21" fillId="0" borderId="4" xfId="0" applyNumberFormat="1" applyFont="1" applyBorder="1" applyAlignment="1">
      <alignment horizontal="center" vertical="center"/>
    </xf>
    <xf numFmtId="2" fontId="22" fillId="0" borderId="10" xfId="0" applyNumberFormat="1" applyFont="1" applyFill="1" applyBorder="1" applyAlignment="1">
      <alignment horizontal="center"/>
    </xf>
    <xf numFmtId="2" fontId="6" fillId="0" borderId="3" xfId="1" applyNumberFormat="1" applyFont="1" applyFill="1" applyBorder="1" applyAlignment="1">
      <alignment horizontal="center"/>
    </xf>
    <xf numFmtId="0" fontId="17" fillId="0" borderId="1" xfId="0" applyFont="1" applyBorder="1" applyAlignment="1">
      <alignment horizontal="left"/>
    </xf>
    <xf numFmtId="2" fontId="22" fillId="0" borderId="9" xfId="0" applyNumberFormat="1" applyFont="1" applyBorder="1" applyAlignment="1">
      <alignment horizontal="center"/>
    </xf>
    <xf numFmtId="2" fontId="6" fillId="0" borderId="1" xfId="1" applyNumberFormat="1" applyFont="1" applyFill="1" applyBorder="1" applyAlignment="1">
      <alignment horizontal="center"/>
    </xf>
    <xf numFmtId="2" fontId="22" fillId="0" borderId="1" xfId="0" applyNumberFormat="1" applyFont="1" applyFill="1" applyBorder="1" applyAlignment="1">
      <alignment horizontal="center" vertical="center" wrapText="1"/>
    </xf>
    <xf numFmtId="2" fontId="21"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2" fontId="22" fillId="0" borderId="2" xfId="0" applyNumberFormat="1" applyFont="1" applyFill="1" applyBorder="1" applyAlignment="1">
      <alignment horizontal="center"/>
    </xf>
    <xf numFmtId="2" fontId="22" fillId="0" borderId="2" xfId="0" applyNumberFormat="1" applyFont="1" applyFill="1" applyBorder="1" applyAlignment="1">
      <alignment horizontal="center" wrapText="1"/>
    </xf>
    <xf numFmtId="0" fontId="17" fillId="0" borderId="4" xfId="0" applyFont="1" applyBorder="1" applyAlignment="1">
      <alignment horizontal="center"/>
    </xf>
    <xf numFmtId="2" fontId="10" fillId="0" borderId="4" xfId="0" applyNumberFormat="1" applyFont="1" applyBorder="1" applyAlignment="1">
      <alignment horizontal="center"/>
    </xf>
    <xf numFmtId="0" fontId="20" fillId="0" borderId="1" xfId="0" applyFont="1" applyFill="1" applyBorder="1" applyAlignment="1">
      <alignment horizontal="center"/>
    </xf>
    <xf numFmtId="0" fontId="18" fillId="0" borderId="4" xfId="0" applyFont="1" applyFill="1" applyBorder="1" applyAlignment="1">
      <alignment horizontal="justify" vertical="top" wrapText="1"/>
    </xf>
    <xf numFmtId="0" fontId="3" fillId="0" borderId="4" xfId="0" applyFont="1" applyFill="1" applyBorder="1" applyAlignment="1">
      <alignment horizontal="justify" vertical="top" wrapText="1"/>
    </xf>
    <xf numFmtId="2" fontId="4" fillId="0" borderId="4" xfId="0" applyNumberFormat="1" applyFont="1" applyFill="1" applyBorder="1" applyAlignment="1">
      <alignment horizontal="center"/>
    </xf>
    <xf numFmtId="2" fontId="4" fillId="0" borderId="1" xfId="0" applyNumberFormat="1" applyFont="1" applyFill="1" applyBorder="1" applyAlignment="1">
      <alignment horizontal="center"/>
    </xf>
    <xf numFmtId="2" fontId="21" fillId="0" borderId="3" xfId="1" applyNumberFormat="1" applyFont="1" applyBorder="1" applyAlignment="1">
      <alignment horizontal="center"/>
    </xf>
    <xf numFmtId="2" fontId="21" fillId="0" borderId="4" xfId="1" applyNumberFormat="1" applyFont="1" applyBorder="1" applyAlignment="1">
      <alignment horizontal="center"/>
    </xf>
    <xf numFmtId="0" fontId="167" fillId="0" borderId="4" xfId="0" applyFont="1" applyBorder="1" applyAlignment="1">
      <alignment horizontal="center"/>
    </xf>
    <xf numFmtId="49" fontId="22" fillId="0" borderId="3" xfId="2" applyNumberFormat="1" applyFont="1" applyBorder="1" applyAlignment="1" applyProtection="1">
      <alignment horizontal="center" wrapText="1"/>
    </xf>
    <xf numFmtId="0" fontId="4" fillId="0" borderId="14" xfId="0" applyFont="1" applyBorder="1" applyAlignment="1">
      <alignment horizontal="center"/>
    </xf>
    <xf numFmtId="0" fontId="17" fillId="0" borderId="11" xfId="0" applyFont="1" applyBorder="1"/>
    <xf numFmtId="0" fontId="17" fillId="0" borderId="11" xfId="0" applyFont="1" applyBorder="1" applyAlignment="1">
      <alignment horizontal="center"/>
    </xf>
    <xf numFmtId="1" fontId="22" fillId="0" borderId="1" xfId="0" quotePrefix="1" applyNumberFormat="1" applyFont="1" applyFill="1" applyBorder="1" applyAlignment="1">
      <alignment horizontal="center"/>
    </xf>
    <xf numFmtId="0" fontId="20" fillId="0" borderId="4" xfId="0" quotePrefix="1" applyFont="1" applyFill="1" applyBorder="1" applyAlignment="1">
      <alignment horizontal="center" vertical="center" wrapText="1"/>
    </xf>
    <xf numFmtId="0" fontId="0" fillId="0" borderId="1" xfId="0" applyBorder="1" applyAlignment="1">
      <alignment horizontal="center"/>
    </xf>
    <xf numFmtId="0" fontId="113" fillId="10" borderId="1" xfId="0" applyFont="1" applyFill="1" applyBorder="1" applyAlignment="1">
      <alignment horizontal="left" vertical="center" wrapText="1"/>
    </xf>
    <xf numFmtId="0" fontId="5" fillId="11" borderId="1" xfId="0" applyFont="1" applyFill="1" applyBorder="1" applyAlignment="1">
      <alignment horizontal="center"/>
    </xf>
    <xf numFmtId="0" fontId="15" fillId="11" borderId="1" xfId="0" applyFont="1" applyFill="1" applyBorder="1" applyAlignment="1">
      <alignment horizontal="center" wrapText="1"/>
    </xf>
    <xf numFmtId="2" fontId="155" fillId="0" borderId="1" xfId="0" applyNumberFormat="1" applyFont="1" applyBorder="1" applyAlignment="1">
      <alignment horizontal="center"/>
    </xf>
    <xf numFmtId="2" fontId="155" fillId="0" borderId="1" xfId="0" applyNumberFormat="1" applyFont="1" applyFill="1" applyBorder="1" applyAlignment="1">
      <alignment horizontal="center"/>
    </xf>
    <xf numFmtId="2" fontId="5" fillId="0" borderId="1" xfId="0" applyNumberFormat="1" applyFont="1" applyFill="1" applyBorder="1" applyAlignment="1">
      <alignment horizontal="center"/>
    </xf>
    <xf numFmtId="2" fontId="5" fillId="9" borderId="1" xfId="0" applyNumberFormat="1" applyFont="1" applyFill="1" applyBorder="1" applyAlignment="1">
      <alignment horizontal="center"/>
    </xf>
    <xf numFmtId="2" fontId="156" fillId="9" borderId="1" xfId="0" applyNumberFormat="1" applyFont="1" applyFill="1" applyBorder="1" applyAlignment="1">
      <alignment horizontal="center"/>
    </xf>
    <xf numFmtId="2" fontId="5" fillId="10" borderId="1" xfId="0" applyNumberFormat="1" applyFont="1" applyFill="1" applyBorder="1" applyAlignment="1">
      <alignment horizontal="center"/>
    </xf>
    <xf numFmtId="2" fontId="5" fillId="4" borderId="1" xfId="0" applyNumberFormat="1" applyFont="1" applyFill="1" applyBorder="1" applyAlignment="1">
      <alignment horizontal="center"/>
    </xf>
    <xf numFmtId="0" fontId="5" fillId="4" borderId="1" xfId="0" applyFont="1" applyFill="1" applyBorder="1" applyAlignment="1">
      <alignment horizontal="center"/>
    </xf>
    <xf numFmtId="43" fontId="5" fillId="0" borderId="1" xfId="1" applyFont="1" applyBorder="1" applyAlignment="1">
      <alignment horizontal="center"/>
    </xf>
    <xf numFmtId="2" fontId="5" fillId="11" borderId="1" xfId="0" applyNumberFormat="1" applyFont="1" applyFill="1" applyBorder="1" applyAlignment="1">
      <alignment horizontal="center"/>
    </xf>
    <xf numFmtId="0" fontId="142" fillId="0" borderId="1" xfId="0" applyFont="1" applyBorder="1" applyAlignment="1">
      <alignment horizontal="center"/>
    </xf>
    <xf numFmtId="0" fontId="57" fillId="0" borderId="1" xfId="0" applyFont="1" applyBorder="1" applyAlignment="1">
      <alignment horizontal="center"/>
    </xf>
    <xf numFmtId="0" fontId="127" fillId="0" borderId="1" xfId="0" applyFont="1" applyBorder="1" applyAlignment="1">
      <alignment horizontal="center"/>
    </xf>
    <xf numFmtId="2" fontId="142" fillId="0" borderId="1" xfId="0" applyNumberFormat="1" applyFont="1" applyBorder="1" applyAlignment="1">
      <alignment horizontal="center"/>
    </xf>
    <xf numFmtId="2" fontId="127" fillId="0" borderId="1" xfId="0" applyNumberFormat="1" applyFont="1" applyBorder="1" applyAlignment="1">
      <alignment horizontal="center"/>
    </xf>
    <xf numFmtId="2" fontId="142" fillId="0" borderId="1" xfId="0" applyNumberFormat="1" applyFont="1" applyFill="1" applyBorder="1" applyAlignment="1">
      <alignment horizontal="center"/>
    </xf>
    <xf numFmtId="0" fontId="127" fillId="0" borderId="1" xfId="0" applyFont="1" applyFill="1" applyBorder="1" applyAlignment="1">
      <alignment horizontal="center"/>
    </xf>
    <xf numFmtId="0" fontId="5" fillId="0" borderId="0" xfId="0" applyFont="1" applyAlignment="1">
      <alignment horizontal="left"/>
    </xf>
    <xf numFmtId="0" fontId="149" fillId="0" borderId="1" xfId="0" applyFont="1" applyBorder="1" applyAlignment="1">
      <alignment horizontal="left"/>
    </xf>
    <xf numFmtId="0" fontId="150" fillId="0" borderId="1" xfId="0" applyFont="1" applyBorder="1" applyAlignment="1">
      <alignment horizontal="left"/>
    </xf>
    <xf numFmtId="0" fontId="150" fillId="0" borderId="1" xfId="0" applyFont="1" applyFill="1" applyBorder="1" applyAlignment="1">
      <alignment horizontal="left"/>
    </xf>
    <xf numFmtId="0" fontId="150" fillId="0" borderId="1" xfId="0" quotePrefix="1" applyFont="1" applyBorder="1" applyAlignment="1">
      <alignment horizontal="left"/>
    </xf>
    <xf numFmtId="0" fontId="150" fillId="0" borderId="1" xfId="0" applyFont="1" applyBorder="1" applyAlignment="1">
      <alignment horizontal="left" wrapText="1"/>
    </xf>
    <xf numFmtId="0" fontId="150" fillId="9" borderId="1" xfId="0" applyFont="1" applyFill="1" applyBorder="1" applyAlignment="1">
      <alignment horizontal="left"/>
    </xf>
    <xf numFmtId="0" fontId="17" fillId="0" borderId="1" xfId="0" applyFont="1" applyBorder="1" applyAlignment="1">
      <alignment horizontal="left" wrapText="1"/>
    </xf>
    <xf numFmtId="0" fontId="149" fillId="0" borderId="1" xfId="0" applyFont="1" applyFill="1" applyBorder="1" applyAlignment="1">
      <alignment horizontal="left" wrapText="1"/>
    </xf>
    <xf numFmtId="0" fontId="152" fillId="0" borderId="1" xfId="0" applyFont="1" applyBorder="1" applyAlignment="1">
      <alignment horizontal="left" wrapText="1"/>
    </xf>
    <xf numFmtId="0" fontId="149" fillId="0" borderId="1" xfId="0" applyFont="1" applyBorder="1" applyAlignment="1">
      <alignment horizontal="left" wrapText="1"/>
    </xf>
    <xf numFmtId="0" fontId="18" fillId="0" borderId="1" xfId="0" applyFont="1" applyBorder="1" applyAlignment="1">
      <alignment horizontal="left" wrapText="1"/>
    </xf>
    <xf numFmtId="0" fontId="18" fillId="0" borderId="1" xfId="0" applyFont="1" applyFill="1" applyBorder="1" applyAlignment="1">
      <alignment horizontal="left" wrapText="1"/>
    </xf>
    <xf numFmtId="0" fontId="149" fillId="10" borderId="1" xfId="0" applyFont="1" applyFill="1" applyBorder="1" applyAlignment="1">
      <alignment horizontal="left" wrapText="1"/>
    </xf>
    <xf numFmtId="0" fontId="15" fillId="10" borderId="1" xfId="0" applyFont="1" applyFill="1" applyBorder="1" applyAlignment="1">
      <alignment horizontal="left"/>
    </xf>
    <xf numFmtId="0" fontId="4" fillId="0" borderId="1" xfId="0" applyFont="1" applyBorder="1" applyAlignment="1">
      <alignment horizontal="left" wrapText="1"/>
    </xf>
    <xf numFmtId="0" fontId="150" fillId="10" borderId="1" xfId="0" applyFont="1" applyFill="1" applyBorder="1" applyAlignment="1">
      <alignment horizontal="left"/>
    </xf>
    <xf numFmtId="0" fontId="15" fillId="9" borderId="1" xfId="0" applyFont="1" applyFill="1" applyBorder="1" applyAlignment="1">
      <alignment horizontal="left"/>
    </xf>
    <xf numFmtId="0" fontId="15" fillId="0" borderId="1" xfId="0" applyFont="1" applyBorder="1" applyAlignment="1">
      <alignment horizontal="left"/>
    </xf>
    <xf numFmtId="0" fontId="69" fillId="0" borderId="1" xfId="0" applyFont="1" applyBorder="1" applyAlignment="1">
      <alignment horizontal="left"/>
    </xf>
    <xf numFmtId="0" fontId="55" fillId="0" borderId="1" xfId="0" applyFont="1" applyFill="1" applyBorder="1" applyAlignment="1">
      <alignment horizontal="left"/>
    </xf>
    <xf numFmtId="0" fontId="2" fillId="0" borderId="1" xfId="0" applyFont="1" applyBorder="1" applyAlignment="1">
      <alignment horizontal="left" wrapText="1"/>
    </xf>
    <xf numFmtId="0" fontId="69" fillId="0" borderId="1" xfId="0" applyFont="1" applyBorder="1" applyAlignment="1">
      <alignment horizontal="left" wrapText="1"/>
    </xf>
    <xf numFmtId="0" fontId="4" fillId="0" borderId="1" xfId="0" applyFont="1" applyBorder="1" applyAlignment="1">
      <alignment horizontal="left"/>
    </xf>
    <xf numFmtId="0" fontId="98" fillId="0" borderId="1" xfId="0" applyFont="1" applyBorder="1" applyAlignment="1">
      <alignment horizontal="left" wrapText="1"/>
    </xf>
    <xf numFmtId="0" fontId="73" fillId="0" borderId="1" xfId="0" applyFont="1" applyBorder="1" applyAlignment="1">
      <alignment horizontal="left" wrapText="1"/>
    </xf>
    <xf numFmtId="0" fontId="88" fillId="0" borderId="1" xfId="0" applyFont="1" applyBorder="1" applyAlignment="1">
      <alignment horizontal="left" wrapText="1"/>
    </xf>
    <xf numFmtId="0" fontId="93" fillId="11" borderId="1" xfId="0" applyFont="1" applyFill="1" applyBorder="1" applyAlignment="1">
      <alignment horizontal="left" wrapText="1"/>
    </xf>
    <xf numFmtId="0" fontId="73" fillId="11" borderId="1" xfId="0" applyFont="1" applyFill="1" applyBorder="1" applyAlignment="1">
      <alignment horizontal="left" wrapText="1"/>
    </xf>
    <xf numFmtId="0" fontId="94" fillId="0" borderId="1" xfId="0" applyFont="1" applyBorder="1" applyAlignment="1">
      <alignment horizontal="left" wrapText="1"/>
    </xf>
    <xf numFmtId="0" fontId="55" fillId="0" borderId="1" xfId="0" applyFont="1" applyBorder="1" applyAlignment="1">
      <alignment horizontal="left" vertical="justify" wrapText="1"/>
    </xf>
    <xf numFmtId="0" fontId="69" fillId="0" borderId="1" xfId="0" applyFont="1" applyBorder="1" applyAlignment="1">
      <alignment horizontal="left" vertical="justify" wrapText="1"/>
    </xf>
    <xf numFmtId="0" fontId="96" fillId="0" borderId="1" xfId="0" applyFont="1" applyBorder="1" applyAlignment="1">
      <alignment horizontal="left" vertical="justify" wrapText="1"/>
    </xf>
    <xf numFmtId="0" fontId="88" fillId="0" borderId="1" xfId="0" applyFont="1" applyBorder="1" applyAlignment="1">
      <alignment horizontal="left" vertical="justify" wrapText="1"/>
    </xf>
    <xf numFmtId="0" fontId="73" fillId="0" borderId="1" xfId="0" applyFont="1" applyBorder="1" applyAlignment="1">
      <alignment horizontal="left" vertical="justify" wrapText="1"/>
    </xf>
    <xf numFmtId="0" fontId="15" fillId="0" borderId="1" xfId="0" applyFont="1" applyFill="1" applyBorder="1" applyAlignment="1">
      <alignment horizontal="left" wrapText="1"/>
    </xf>
    <xf numFmtId="0" fontId="92" fillId="0" borderId="1" xfId="0" applyFont="1" applyBorder="1" applyAlignment="1">
      <alignment horizontal="left" wrapText="1"/>
    </xf>
    <xf numFmtId="0" fontId="76" fillId="0" borderId="1" xfId="0" applyFont="1" applyBorder="1" applyAlignment="1">
      <alignment horizontal="left" wrapText="1"/>
    </xf>
    <xf numFmtId="0" fontId="75" fillId="0" borderId="1" xfId="0" applyFont="1" applyBorder="1" applyAlignment="1">
      <alignment horizontal="left" vertical="justify"/>
    </xf>
    <xf numFmtId="0" fontId="73" fillId="0" borderId="1" xfId="0" applyFont="1" applyBorder="1" applyAlignment="1">
      <alignment horizontal="left"/>
    </xf>
    <xf numFmtId="0" fontId="55" fillId="0" borderId="1" xfId="0" applyFont="1" applyBorder="1" applyAlignment="1">
      <alignment horizontal="left"/>
    </xf>
    <xf numFmtId="0" fontId="5" fillId="0" borderId="4" xfId="0" applyFont="1" applyBorder="1"/>
    <xf numFmtId="0" fontId="149" fillId="0" borderId="1" xfId="0" applyFont="1" applyFill="1" applyBorder="1" applyAlignment="1">
      <alignment horizontal="center"/>
    </xf>
    <xf numFmtId="0" fontId="154" fillId="0" borderId="1" xfId="0" applyFont="1" applyBorder="1" applyAlignment="1">
      <alignment horizontal="center"/>
    </xf>
    <xf numFmtId="0" fontId="175" fillId="9" borderId="1" xfId="0" applyFont="1" applyFill="1" applyBorder="1" applyAlignment="1">
      <alignment horizontal="center"/>
    </xf>
    <xf numFmtId="0" fontId="149" fillId="9" borderId="1" xfId="0" applyFont="1" applyFill="1" applyBorder="1" applyAlignment="1">
      <alignment horizontal="center"/>
    </xf>
    <xf numFmtId="0" fontId="149" fillId="10" borderId="1" xfId="0" applyFont="1" applyFill="1" applyBorder="1" applyAlignment="1">
      <alignment horizontal="center"/>
    </xf>
    <xf numFmtId="2" fontId="55" fillId="0" borderId="1" xfId="0" applyNumberFormat="1" applyFont="1" applyBorder="1" applyAlignment="1">
      <alignment horizontal="center" wrapText="1"/>
    </xf>
    <xf numFmtId="2" fontId="73" fillId="0" borderId="1" xfId="0" applyNumberFormat="1" applyFont="1" applyBorder="1" applyAlignment="1">
      <alignment horizontal="center" wrapText="1"/>
    </xf>
    <xf numFmtId="2" fontId="166" fillId="0" borderId="2" xfId="0" quotePrefix="1" applyNumberFormat="1" applyFont="1" applyBorder="1" applyAlignment="1">
      <alignment horizontal="center"/>
    </xf>
    <xf numFmtId="1" fontId="24" fillId="0" borderId="4" xfId="0" applyNumberFormat="1" applyFont="1" applyBorder="1" applyAlignment="1">
      <alignment horizontal="center"/>
    </xf>
    <xf numFmtId="2" fontId="4" fillId="0" borderId="2" xfId="0" applyNumberFormat="1" applyFont="1" applyBorder="1"/>
    <xf numFmtId="2" fontId="21" fillId="0" borderId="1" xfId="0" applyNumberFormat="1" applyFont="1" applyBorder="1" applyAlignment="1">
      <alignment horizontal="center" vertical="center"/>
    </xf>
    <xf numFmtId="43" fontId="21" fillId="0" borderId="2" xfId="1" applyFont="1" applyBorder="1" applyAlignment="1">
      <alignment horizontal="center"/>
    </xf>
    <xf numFmtId="0" fontId="15" fillId="0" borderId="0" xfId="0" applyFont="1" applyAlignment="1">
      <alignment horizontal="center"/>
    </xf>
    <xf numFmtId="0" fontId="4" fillId="0" borderId="0" xfId="0" applyFont="1" applyAlignment="1">
      <alignment horizontal="center"/>
    </xf>
    <xf numFmtId="0" fontId="0" fillId="0" borderId="0" xfId="0"/>
    <xf numFmtId="0" fontId="69" fillId="0" borderId="0" xfId="0" applyFont="1" applyAlignment="1">
      <alignment horizontal="center"/>
    </xf>
    <xf numFmtId="0" fontId="26" fillId="0" borderId="0" xfId="0" applyFont="1" applyAlignment="1">
      <alignment horizontal="center"/>
    </xf>
    <xf numFmtId="0" fontId="0" fillId="0" borderId="0" xfId="0"/>
    <xf numFmtId="1" fontId="58" fillId="0" borderId="0" xfId="0" applyNumberFormat="1" applyFont="1" applyBorder="1" applyAlignment="1">
      <alignment horizontal="center"/>
    </xf>
    <xf numFmtId="0" fontId="28" fillId="0" borderId="0" xfId="0" applyFont="1" applyAlignment="1">
      <alignment horizontal="center"/>
    </xf>
    <xf numFmtId="1" fontId="22" fillId="0" borderId="0" xfId="0" applyNumberFormat="1" applyFont="1" applyAlignment="1">
      <alignment horizontal="center"/>
    </xf>
    <xf numFmtId="0" fontId="29" fillId="0" borderId="0" xfId="0" applyFont="1" applyAlignment="1">
      <alignment horizontal="center"/>
    </xf>
    <xf numFmtId="0" fontId="0" fillId="0" borderId="0" xfId="0"/>
    <xf numFmtId="0" fontId="55" fillId="0" borderId="4" xfId="0" applyFont="1" applyBorder="1" applyAlignment="1">
      <alignment horizontal="center" vertical="center" wrapText="1"/>
    </xf>
    <xf numFmtId="1" fontId="24" fillId="0" borderId="0" xfId="0" applyNumberFormat="1" applyFont="1" applyAlignment="1">
      <alignment horizontal="center"/>
    </xf>
    <xf numFmtId="0" fontId="23" fillId="0" borderId="0" xfId="0" applyFont="1"/>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2" fontId="22" fillId="0" borderId="2" xfId="0" applyNumberFormat="1" applyFont="1" applyBorder="1" applyAlignment="1">
      <alignment horizontal="center" vertical="center"/>
    </xf>
    <xf numFmtId="2" fontId="22" fillId="0" borderId="4" xfId="0" applyNumberFormat="1" applyFont="1" applyBorder="1" applyAlignment="1">
      <alignment horizontal="center" vertical="center"/>
    </xf>
    <xf numFmtId="0" fontId="4" fillId="0" borderId="0" xfId="0" applyFont="1" applyAlignment="1">
      <alignment horizontal="center"/>
    </xf>
    <xf numFmtId="2" fontId="22" fillId="0" borderId="3" xfId="0" applyNumberFormat="1" applyFont="1" applyBorder="1" applyAlignment="1">
      <alignment horizontal="center" vertical="center"/>
    </xf>
    <xf numFmtId="0" fontId="20" fillId="0" borderId="2" xfId="0" applyFont="1" applyFill="1" applyBorder="1" applyAlignment="1">
      <alignment horizontal="center" vertical="center" wrapText="1"/>
    </xf>
    <xf numFmtId="0" fontId="0" fillId="0" borderId="0" xfId="0"/>
    <xf numFmtId="0" fontId="15" fillId="9" borderId="0" xfId="0" applyFont="1" applyFill="1" applyAlignment="1">
      <alignment horizontal="center"/>
    </xf>
    <xf numFmtId="0" fontId="0" fillId="9" borderId="0" xfId="0" applyFill="1"/>
    <xf numFmtId="0" fontId="0" fillId="9" borderId="0" xfId="0" applyFill="1" applyAlignment="1">
      <alignment horizontal="center"/>
    </xf>
    <xf numFmtId="0" fontId="22" fillId="9" borderId="0" xfId="0" applyFont="1" applyFill="1" applyAlignment="1">
      <alignment horizontal="center"/>
    </xf>
    <xf numFmtId="2" fontId="22" fillId="9" borderId="0" xfId="0" applyNumberFormat="1" applyFont="1" applyFill="1"/>
    <xf numFmtId="0" fontId="15" fillId="9" borderId="0" xfId="0" applyFont="1" applyFill="1"/>
    <xf numFmtId="0" fontId="25" fillId="9" borderId="0" xfId="0" applyFont="1" applyFill="1" applyAlignment="1">
      <alignment horizontal="center"/>
    </xf>
    <xf numFmtId="0" fontId="36" fillId="9" borderId="0" xfId="0" applyFont="1" applyFill="1" applyAlignment="1">
      <alignment horizontal="right"/>
    </xf>
    <xf numFmtId="2" fontId="37" fillId="9" borderId="0" xfId="0" applyNumberFormat="1" applyFont="1" applyFill="1"/>
    <xf numFmtId="0" fontId="37" fillId="9" borderId="0" xfId="0" applyFont="1" applyFill="1" applyAlignment="1">
      <alignment horizontal="center"/>
    </xf>
    <xf numFmtId="0" fontId="27" fillId="9" borderId="0" xfId="0" applyFont="1" applyFill="1" applyAlignment="1">
      <alignment horizontal="center"/>
    </xf>
    <xf numFmtId="0" fontId="35" fillId="9" borderId="0" xfId="0" applyFont="1" applyFill="1" applyAlignment="1">
      <alignment horizontal="center"/>
    </xf>
    <xf numFmtId="0" fontId="15" fillId="9" borderId="0" xfId="0" quotePrefix="1" applyFont="1" applyFill="1"/>
    <xf numFmtId="0" fontId="4" fillId="9" borderId="0" xfId="0" applyFont="1" applyFill="1" applyAlignment="1">
      <alignment horizontal="center"/>
    </xf>
    <xf numFmtId="0" fontId="24" fillId="9" borderId="0" xfId="0" applyFont="1" applyFill="1" applyAlignment="1">
      <alignment horizontal="center"/>
    </xf>
    <xf numFmtId="0" fontId="3" fillId="9" borderId="0" xfId="0" applyFont="1" applyFill="1"/>
    <xf numFmtId="0" fontId="10" fillId="9" borderId="0" xfId="0" applyFont="1" applyFill="1" applyBorder="1" applyAlignment="1"/>
    <xf numFmtId="0" fontId="24" fillId="9" borderId="0" xfId="0" applyFont="1" applyFill="1" applyBorder="1" applyAlignment="1">
      <alignment horizontal="center"/>
    </xf>
    <xf numFmtId="2" fontId="37" fillId="9" borderId="0" xfId="0" applyNumberFormat="1" applyFont="1" applyFill="1" applyBorder="1" applyAlignment="1"/>
    <xf numFmtId="0" fontId="37" fillId="9" borderId="0" xfId="0" applyFont="1" applyFill="1" applyBorder="1" applyAlignment="1"/>
    <xf numFmtId="0" fontId="37" fillId="9" borderId="0" xfId="0" quotePrefix="1" applyFont="1" applyFill="1" applyAlignment="1">
      <alignment horizontal="center"/>
    </xf>
    <xf numFmtId="0" fontId="20" fillId="9" borderId="0" xfId="0" applyFont="1" applyFill="1"/>
    <xf numFmtId="0" fontId="4" fillId="9" borderId="0" xfId="0" applyFont="1" applyFill="1"/>
    <xf numFmtId="0" fontId="22" fillId="9" borderId="0" xfId="0" applyFont="1" applyFill="1" applyAlignment="1">
      <alignment horizontal="center" vertical="top"/>
    </xf>
    <xf numFmtId="0" fontId="2" fillId="9" borderId="0" xfId="0" applyFont="1" applyFill="1" applyBorder="1" applyAlignment="1">
      <alignment wrapText="1"/>
    </xf>
    <xf numFmtId="0" fontId="18" fillId="9" borderId="0" xfId="0" applyFont="1" applyFill="1"/>
    <xf numFmtId="0" fontId="15" fillId="9" borderId="0" xfId="0" applyFont="1" applyFill="1" applyAlignment="1">
      <alignment wrapText="1"/>
    </xf>
    <xf numFmtId="0" fontId="55" fillId="9" borderId="0" xfId="0" applyFont="1" applyFill="1" applyBorder="1" applyAlignment="1">
      <alignment wrapText="1"/>
    </xf>
    <xf numFmtId="0" fontId="22" fillId="9" borderId="0" xfId="0" applyFont="1" applyFill="1" applyBorder="1" applyAlignment="1">
      <alignment horizontal="center" vertical="top"/>
    </xf>
    <xf numFmtId="0" fontId="15" fillId="9" borderId="0" xfId="0" applyFont="1" applyFill="1" applyBorder="1" applyAlignment="1">
      <alignment horizontal="left" wrapText="1"/>
    </xf>
    <xf numFmtId="0" fontId="10" fillId="9" borderId="0" xfId="0" applyFont="1" applyFill="1" applyAlignment="1">
      <alignment horizontal="center"/>
    </xf>
    <xf numFmtId="0" fontId="15" fillId="9" borderId="0" xfId="0" applyFont="1" applyFill="1" applyBorder="1" applyAlignment="1">
      <alignment wrapText="1"/>
    </xf>
    <xf numFmtId="0" fontId="18" fillId="9" borderId="0" xfId="0" applyFont="1" applyFill="1" applyBorder="1" applyAlignment="1">
      <alignment wrapText="1"/>
    </xf>
    <xf numFmtId="0" fontId="15" fillId="9" borderId="0" xfId="0" applyFont="1" applyFill="1" applyBorder="1" applyAlignment="1">
      <alignment vertical="top" wrapText="1"/>
    </xf>
    <xf numFmtId="0" fontId="15" fillId="9" borderId="0" xfId="0" applyFont="1" applyFill="1" applyBorder="1" applyAlignment="1">
      <alignment vertical="top"/>
    </xf>
    <xf numFmtId="0" fontId="23" fillId="9" borderId="0" xfId="0" applyFont="1" applyFill="1" applyBorder="1" applyAlignment="1">
      <alignment vertical="top" wrapText="1"/>
    </xf>
    <xf numFmtId="0" fontId="55" fillId="9" borderId="0" xfId="0" applyFont="1" applyFill="1" applyBorder="1" applyAlignment="1">
      <alignment vertical="top" wrapText="1"/>
    </xf>
    <xf numFmtId="0" fontId="10" fillId="9" borderId="0" xfId="0" applyFont="1" applyFill="1" applyAlignment="1">
      <alignment vertical="top" wrapText="1"/>
    </xf>
    <xf numFmtId="0" fontId="18" fillId="9" borderId="0" xfId="0" applyFont="1" applyFill="1" applyAlignment="1">
      <alignment vertical="top" wrapText="1"/>
    </xf>
    <xf numFmtId="0" fontId="15" fillId="9" borderId="0" xfId="0" applyFont="1" applyFill="1" applyAlignment="1">
      <alignment vertical="top" wrapText="1"/>
    </xf>
    <xf numFmtId="0" fontId="0" fillId="9" borderId="0" xfId="0" applyFill="1" applyAlignment="1">
      <alignment vertical="top"/>
    </xf>
    <xf numFmtId="0" fontId="98" fillId="9" borderId="0" xfId="0" applyFont="1" applyFill="1" applyBorder="1" applyAlignment="1">
      <alignment horizontal="center" wrapText="1"/>
    </xf>
    <xf numFmtId="0" fontId="0" fillId="9" borderId="0" xfId="0" applyFill="1" applyBorder="1" applyAlignment="1">
      <alignment horizontal="center"/>
    </xf>
    <xf numFmtId="0" fontId="88" fillId="9" borderId="0" xfId="0" applyFont="1" applyFill="1" applyBorder="1" applyAlignment="1">
      <alignment horizontal="left" vertical="top" wrapText="1"/>
    </xf>
    <xf numFmtId="0" fontId="73" fillId="9" borderId="0" xfId="0" applyFont="1" applyFill="1" applyBorder="1" applyAlignment="1">
      <alignment wrapText="1"/>
    </xf>
    <xf numFmtId="0" fontId="0" fillId="9" borderId="0" xfId="0" applyFill="1" applyBorder="1" applyAlignment="1">
      <alignment vertical="justify"/>
    </xf>
    <xf numFmtId="2" fontId="22" fillId="9" borderId="0" xfId="0" applyNumberFormat="1" applyFont="1" applyFill="1" applyBorder="1"/>
    <xf numFmtId="0" fontId="4" fillId="9" borderId="0" xfId="0" applyFont="1" applyFill="1" applyAlignment="1">
      <alignment vertical="top" wrapText="1"/>
    </xf>
    <xf numFmtId="2" fontId="21" fillId="0" borderId="2" xfId="0" applyNumberFormat="1" applyFont="1" applyBorder="1" applyAlignment="1">
      <alignment horizontal="center" vertical="center"/>
    </xf>
    <xf numFmtId="0" fontId="23" fillId="0" borderId="4" xfId="0" applyFont="1" applyBorder="1" applyAlignment="1">
      <alignment horizontal="center"/>
    </xf>
    <xf numFmtId="0" fontId="20" fillId="0" borderId="1" xfId="0" quotePrefix="1" applyFont="1" applyBorder="1" applyAlignment="1">
      <alignment horizontal="center"/>
    </xf>
    <xf numFmtId="2" fontId="21" fillId="0" borderId="2" xfId="1" applyNumberFormat="1" applyFont="1" applyBorder="1" applyAlignment="1">
      <alignment horizontal="center"/>
    </xf>
    <xf numFmtId="2" fontId="21" fillId="0" borderId="1" xfId="0" applyNumberFormat="1" applyFont="1" applyFill="1" applyBorder="1" applyAlignment="1">
      <alignment horizontal="center"/>
    </xf>
    <xf numFmtId="0" fontId="161" fillId="0" borderId="2" xfId="0" applyFont="1" applyBorder="1" applyAlignment="1">
      <alignment horizontal="center"/>
    </xf>
    <xf numFmtId="164" fontId="21" fillId="0" borderId="3" xfId="0" applyNumberFormat="1" applyFont="1" applyBorder="1" applyAlignment="1">
      <alignment horizontal="center"/>
    </xf>
    <xf numFmtId="1" fontId="6" fillId="0" borderId="4" xfId="0" applyNumberFormat="1" applyFont="1" applyBorder="1" applyAlignment="1">
      <alignment horizontal="center"/>
    </xf>
    <xf numFmtId="0" fontId="17" fillId="0" borderId="4" xfId="0" applyFont="1" applyBorder="1" applyAlignment="1">
      <alignment horizontal="left" wrapText="1"/>
    </xf>
    <xf numFmtId="0" fontId="5" fillId="0" borderId="0" xfId="0" applyFont="1" applyAlignment="1">
      <alignment vertical="top"/>
    </xf>
    <xf numFmtId="0" fontId="112" fillId="0" borderId="1" xfId="0" applyFont="1" applyBorder="1"/>
    <xf numFmtId="0" fontId="112" fillId="0" borderId="1" xfId="0" applyFont="1" applyFill="1" applyBorder="1"/>
    <xf numFmtId="2" fontId="180" fillId="12" borderId="33" xfId="0" applyNumberFormat="1" applyFont="1" applyFill="1" applyBorder="1" applyAlignment="1">
      <alignment horizontal="center"/>
    </xf>
    <xf numFmtId="0" fontId="17" fillId="0" borderId="4" xfId="0" applyFont="1" applyFill="1" applyBorder="1" applyAlignment="1">
      <alignment horizontal="center"/>
    </xf>
    <xf numFmtId="0" fontId="15" fillId="0" borderId="3" xfId="0" applyFont="1" applyBorder="1" applyAlignment="1">
      <alignment horizontal="center" wrapText="1"/>
    </xf>
    <xf numFmtId="165" fontId="21" fillId="0" borderId="3" xfId="0" applyNumberFormat="1" applyFont="1" applyBorder="1" applyAlignment="1">
      <alignment horizontal="center" vertical="center"/>
    </xf>
    <xf numFmtId="0" fontId="0" fillId="0" borderId="0" xfId="0"/>
    <xf numFmtId="0" fontId="10" fillId="0" borderId="0" xfId="0" applyFont="1" applyAlignment="1">
      <alignment horizontal="center"/>
    </xf>
    <xf numFmtId="0" fontId="0" fillId="0" borderId="0" xfId="0"/>
    <xf numFmtId="0" fontId="4" fillId="0" borderId="0" xfId="0" applyFont="1" applyAlignment="1">
      <alignment horizontal="center"/>
    </xf>
    <xf numFmtId="0" fontId="69" fillId="0" borderId="0" xfId="0" applyFont="1" applyAlignment="1">
      <alignment horizontal="center"/>
    </xf>
    <xf numFmtId="2" fontId="91" fillId="0" borderId="1" xfId="0" applyNumberFormat="1" applyFont="1" applyFill="1" applyBorder="1"/>
    <xf numFmtId="0" fontId="181" fillId="0" borderId="0" xfId="0" applyFont="1" applyAlignment="1">
      <alignment horizontal="center"/>
    </xf>
    <xf numFmtId="2" fontId="182" fillId="0" borderId="0" xfId="0" applyNumberFormat="1" applyFont="1" applyAlignment="1">
      <alignment horizontal="center"/>
    </xf>
    <xf numFmtId="2" fontId="14" fillId="0" borderId="0" xfId="0" applyNumberFormat="1" applyFont="1"/>
    <xf numFmtId="0" fontId="18" fillId="0" borderId="1" xfId="0" applyFont="1" applyFill="1" applyBorder="1"/>
    <xf numFmtId="0" fontId="87" fillId="0" borderId="0" xfId="0" applyFont="1"/>
    <xf numFmtId="0" fontId="87" fillId="0" borderId="0" xfId="0" quotePrefix="1" applyFont="1"/>
    <xf numFmtId="0" fontId="87" fillId="0" borderId="0" xfId="0" applyFont="1" applyFill="1"/>
    <xf numFmtId="2" fontId="180" fillId="12" borderId="0" xfId="0" applyNumberFormat="1" applyFont="1" applyFill="1" applyBorder="1" applyAlignment="1">
      <alignment horizontal="center"/>
    </xf>
    <xf numFmtId="2" fontId="180" fillId="0" borderId="0" xfId="0" applyNumberFormat="1" applyFont="1" applyFill="1" applyBorder="1" applyAlignment="1">
      <alignment horizontal="center"/>
    </xf>
    <xf numFmtId="0" fontId="20" fillId="0" borderId="2" xfId="0" applyFont="1" applyBorder="1" applyAlignment="1">
      <alignment horizontal="center" vertical="center" wrapText="1"/>
    </xf>
    <xf numFmtId="0" fontId="143" fillId="0" borderId="0" xfId="0" applyFont="1" applyFill="1" applyAlignment="1"/>
    <xf numFmtId="0" fontId="186" fillId="0" borderId="0" xfId="0" applyFont="1" applyFill="1"/>
    <xf numFmtId="0" fontId="98" fillId="4" borderId="5" xfId="0" applyFont="1" applyFill="1" applyBorder="1" applyAlignment="1">
      <alignment horizontal="left"/>
    </xf>
    <xf numFmtId="0" fontId="36" fillId="8" borderId="9" xfId="0" applyFont="1" applyFill="1" applyBorder="1" applyAlignment="1">
      <alignment horizontal="center"/>
    </xf>
    <xf numFmtId="0" fontId="36" fillId="8" borderId="5" xfId="0" applyFont="1" applyFill="1" applyBorder="1" applyAlignment="1">
      <alignment horizontal="center"/>
    </xf>
    <xf numFmtId="0" fontId="36" fillId="8" borderId="11" xfId="0" applyFont="1" applyFill="1" applyBorder="1" applyAlignment="1">
      <alignment horizontal="center"/>
    </xf>
    <xf numFmtId="0" fontId="68" fillId="0" borderId="6" xfId="0" applyFont="1" applyBorder="1" applyAlignment="1">
      <alignment horizontal="center"/>
    </xf>
    <xf numFmtId="0" fontId="68" fillId="0" borderId="0" xfId="0" applyFont="1" applyBorder="1" applyAlignment="1">
      <alignment horizontal="center"/>
    </xf>
    <xf numFmtId="0" fontId="69" fillId="0" borderId="2" xfId="0" applyFont="1" applyBorder="1" applyAlignment="1">
      <alignment horizontal="center" vertical="center"/>
    </xf>
    <xf numFmtId="0" fontId="69" fillId="0" borderId="3" xfId="0" applyFont="1" applyBorder="1" applyAlignment="1">
      <alignment horizontal="center" vertical="center"/>
    </xf>
    <xf numFmtId="0" fontId="69" fillId="0" borderId="4" xfId="0" applyFont="1" applyBorder="1" applyAlignment="1">
      <alignment horizontal="center" vertical="center"/>
    </xf>
    <xf numFmtId="0" fontId="69" fillId="7" borderId="3" xfId="0" applyFont="1" applyFill="1" applyBorder="1" applyAlignment="1">
      <alignment horizontal="center" vertical="center" wrapText="1"/>
    </xf>
    <xf numFmtId="0" fontId="69" fillId="7" borderId="4" xfId="0" applyFont="1" applyFill="1" applyBorder="1" applyAlignment="1">
      <alignment horizontal="center" vertical="center" wrapText="1"/>
    </xf>
    <xf numFmtId="0" fontId="69" fillId="7" borderId="3" xfId="0" applyFont="1" applyFill="1" applyBorder="1" applyAlignment="1">
      <alignment horizontal="center" vertical="center"/>
    </xf>
    <xf numFmtId="0" fontId="69" fillId="7" borderId="4" xfId="0" applyFont="1" applyFill="1" applyBorder="1" applyAlignment="1">
      <alignment horizontal="center" vertical="center"/>
    </xf>
    <xf numFmtId="0" fontId="179" fillId="0" borderId="0" xfId="0" applyFont="1" applyAlignment="1">
      <alignment horizontal="center"/>
    </xf>
    <xf numFmtId="0" fontId="11" fillId="0" borderId="6" xfId="0" applyFont="1" applyFill="1" applyBorder="1" applyAlignment="1">
      <alignment horizontal="center"/>
    </xf>
    <xf numFmtId="0" fontId="20" fillId="0" borderId="2" xfId="0" applyFont="1" applyBorder="1" applyAlignment="1">
      <alignment horizontal="center" vertical="center" wrapText="1"/>
    </xf>
    <xf numFmtId="0" fontId="0" fillId="0" borderId="4" xfId="0" applyBorder="1" applyAlignment="1">
      <alignment horizontal="center" vertical="center" wrapText="1"/>
    </xf>
    <xf numFmtId="0" fontId="20" fillId="0" borderId="2" xfId="0" applyFont="1" applyBorder="1" applyAlignment="1">
      <alignment horizontal="center" vertical="center"/>
    </xf>
    <xf numFmtId="0" fontId="0" fillId="0" borderId="4" xfId="0" applyBorder="1" applyAlignment="1">
      <alignment horizontal="center" vertical="center"/>
    </xf>
    <xf numFmtId="0" fontId="10" fillId="0" borderId="10" xfId="0" quotePrefix="1" applyFont="1" applyBorder="1" applyAlignment="1">
      <alignment horizontal="center"/>
    </xf>
    <xf numFmtId="0" fontId="10" fillId="0" borderId="0" xfId="0" quotePrefix="1" applyFont="1" applyBorder="1" applyAlignment="1">
      <alignment horizontal="center"/>
    </xf>
    <xf numFmtId="0" fontId="20" fillId="0" borderId="4" xfId="0" applyFont="1" applyBorder="1" applyAlignment="1">
      <alignment horizontal="center" vertical="center"/>
    </xf>
    <xf numFmtId="0" fontId="11" fillId="0" borderId="10" xfId="0" applyFont="1" applyBorder="1" applyAlignment="1">
      <alignment horizontal="center"/>
    </xf>
    <xf numFmtId="0" fontId="11" fillId="0" borderId="0" xfId="0" applyFont="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0" fontId="23" fillId="0" borderId="10" xfId="0" applyFont="1" applyBorder="1" applyAlignment="1">
      <alignment horizontal="center" wrapText="1"/>
    </xf>
    <xf numFmtId="0" fontId="23" fillId="0" borderId="0" xfId="0" applyFont="1" applyBorder="1" applyAlignment="1">
      <alignment horizontal="center" wrapText="1"/>
    </xf>
    <xf numFmtId="0" fontId="23" fillId="0" borderId="10" xfId="0" applyFont="1" applyBorder="1" applyAlignment="1">
      <alignment horizontal="center"/>
    </xf>
    <xf numFmtId="0" fontId="23" fillId="0" borderId="0" xfId="0" applyFont="1" applyBorder="1" applyAlignment="1">
      <alignment horizontal="center"/>
    </xf>
    <xf numFmtId="0" fontId="17" fillId="0" borderId="0" xfId="0" applyFont="1" applyBorder="1" applyAlignment="1">
      <alignment horizontal="center" wrapText="1"/>
    </xf>
    <xf numFmtId="0" fontId="11" fillId="0" borderId="6" xfId="0" applyFont="1" applyBorder="1" applyAlignment="1">
      <alignment horizontal="center"/>
    </xf>
    <xf numFmtId="0" fontId="23" fillId="0" borderId="10" xfId="0" applyFont="1" applyFill="1" applyBorder="1" applyAlignment="1">
      <alignment horizontal="center"/>
    </xf>
    <xf numFmtId="0" fontId="23" fillId="0" borderId="0" xfId="0" applyFont="1" applyFill="1" applyBorder="1" applyAlignment="1">
      <alignment horizontal="center"/>
    </xf>
    <xf numFmtId="0" fontId="23" fillId="0" borderId="10" xfId="0" applyFont="1" applyFill="1" applyBorder="1" applyAlignment="1">
      <alignment horizontal="center" wrapText="1"/>
    </xf>
    <xf numFmtId="0" fontId="23" fillId="0" borderId="0" xfId="0" applyFont="1" applyFill="1" applyBorder="1" applyAlignment="1">
      <alignment horizontal="center" wrapText="1"/>
    </xf>
    <xf numFmtId="0" fontId="15" fillId="0" borderId="0" xfId="0" applyFont="1" applyBorder="1" applyAlignment="1">
      <alignment horizontal="center"/>
    </xf>
    <xf numFmtId="0" fontId="10" fillId="0" borderId="0" xfId="0" applyFont="1" applyAlignment="1">
      <alignment horizontal="center"/>
    </xf>
    <xf numFmtId="0" fontId="159" fillId="0" borderId="0" xfId="0" applyFont="1" applyAlignment="1">
      <alignment horizontal="center"/>
    </xf>
    <xf numFmtId="0" fontId="4" fillId="0" borderId="0" xfId="0" applyFont="1" applyBorder="1" applyAlignment="1">
      <alignment horizontal="center" vertical="center"/>
    </xf>
    <xf numFmtId="0" fontId="11" fillId="0" borderId="0" xfId="0" applyFont="1" applyAlignment="1">
      <alignment horizontal="center"/>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55" fillId="0" borderId="10" xfId="0" applyFont="1" applyBorder="1" applyAlignment="1">
      <alignment horizontal="center" wrapText="1"/>
    </xf>
    <xf numFmtId="0" fontId="55" fillId="0" borderId="0" xfId="0" applyFont="1" applyAlignment="1">
      <alignment horizontal="center" wrapText="1"/>
    </xf>
    <xf numFmtId="0" fontId="20" fillId="0" borderId="4" xfId="0" applyFont="1" applyBorder="1" applyAlignment="1">
      <alignment horizontal="center" vertical="center" wrapText="1"/>
    </xf>
    <xf numFmtId="0" fontId="11" fillId="0" borderId="13" xfId="0" applyFont="1" applyBorder="1" applyAlignment="1">
      <alignment horizontal="center"/>
    </xf>
    <xf numFmtId="0" fontId="15" fillId="0" borderId="10" xfId="0" applyFont="1" applyBorder="1" applyAlignment="1">
      <alignment horizont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0" xfId="0" quotePrefix="1" applyFont="1" applyBorder="1" applyAlignment="1">
      <alignment horizontal="center" vertical="center"/>
    </xf>
    <xf numFmtId="0" fontId="18" fillId="0" borderId="4" xfId="0" applyFont="1" applyBorder="1" applyAlignment="1">
      <alignment horizontal="center" vertical="center" wrapText="1"/>
    </xf>
    <xf numFmtId="0" fontId="17" fillId="0" borderId="10" xfId="0" applyFont="1" applyBorder="1" applyAlignment="1">
      <alignment horizontal="center"/>
    </xf>
    <xf numFmtId="0" fontId="20"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3" fillId="0" borderId="0" xfId="0" applyFont="1" applyAlignment="1">
      <alignment horizontal="center"/>
    </xf>
    <xf numFmtId="0" fontId="0" fillId="0" borderId="0" xfId="0"/>
    <xf numFmtId="0" fontId="23" fillId="0" borderId="0" xfId="0" quotePrefix="1" applyFont="1" applyAlignment="1">
      <alignment horizontal="center"/>
    </xf>
    <xf numFmtId="0" fontId="17" fillId="0" borderId="0" xfId="0" applyFont="1" applyBorder="1" applyAlignment="1">
      <alignment horizontal="center"/>
    </xf>
    <xf numFmtId="0" fontId="4" fillId="0" borderId="10" xfId="0" quotePrefix="1" applyFont="1" applyBorder="1" applyAlignment="1">
      <alignment horizontal="center" vertical="center"/>
    </xf>
    <xf numFmtId="0" fontId="10" fillId="0" borderId="10" xfId="0" applyFont="1" applyBorder="1" applyAlignment="1">
      <alignment horizontal="center" wrapText="1"/>
    </xf>
    <xf numFmtId="0" fontId="10" fillId="0" borderId="0" xfId="0" applyFont="1" applyBorder="1" applyAlignment="1">
      <alignment horizontal="center" wrapText="1"/>
    </xf>
    <xf numFmtId="0" fontId="3" fillId="0" borderId="6" xfId="0" applyFont="1" applyBorder="1" applyAlignment="1">
      <alignment horizontal="center"/>
    </xf>
    <xf numFmtId="0" fontId="17" fillId="0" borderId="10" xfId="0" applyFont="1" applyBorder="1" applyAlignment="1">
      <alignment horizontal="center" wrapText="1"/>
    </xf>
    <xf numFmtId="0" fontId="18" fillId="0" borderId="3" xfId="0" applyFont="1" applyBorder="1" applyAlignment="1">
      <alignment horizontal="center" vertical="center" wrapText="1"/>
    </xf>
    <xf numFmtId="2" fontId="22" fillId="0" borderId="2" xfId="0" applyNumberFormat="1" applyFont="1" applyBorder="1" applyAlignment="1">
      <alignment horizontal="center" vertical="center"/>
    </xf>
    <xf numFmtId="2" fontId="22" fillId="0" borderId="4" xfId="0" applyNumberFormat="1" applyFont="1" applyBorder="1" applyAlignment="1">
      <alignment horizontal="center" vertical="center"/>
    </xf>
    <xf numFmtId="2" fontId="21" fillId="0" borderId="2" xfId="0" applyNumberFormat="1" applyFont="1" applyBorder="1" applyAlignment="1">
      <alignment horizontal="center" vertical="center"/>
    </xf>
    <xf numFmtId="2" fontId="21" fillId="0" borderId="4" xfId="0" applyNumberFormat="1" applyFont="1" applyBorder="1" applyAlignment="1">
      <alignment horizontal="center" vertical="center"/>
    </xf>
    <xf numFmtId="0" fontId="63" fillId="0" borderId="4" xfId="0" applyFont="1" applyBorder="1" applyAlignment="1">
      <alignment horizontal="center" vertical="center"/>
    </xf>
    <xf numFmtId="0" fontId="51" fillId="0" borderId="10" xfId="0" applyFont="1" applyBorder="1" applyAlignment="1">
      <alignment horizontal="center"/>
    </xf>
    <xf numFmtId="0" fontId="51" fillId="0" borderId="0" xfId="0" applyFont="1" applyAlignment="1">
      <alignment horizont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xf>
    <xf numFmtId="0" fontId="4" fillId="0" borderId="6" xfId="0" applyFont="1" applyBorder="1" applyAlignment="1">
      <alignment horizontal="center"/>
    </xf>
    <xf numFmtId="0" fontId="17" fillId="0" borderId="0" xfId="0" applyFont="1" applyAlignment="1">
      <alignment horizontal="center" wrapText="1"/>
    </xf>
    <xf numFmtId="0" fontId="22" fillId="0" borderId="9" xfId="0" quotePrefix="1" applyFont="1" applyBorder="1" applyAlignment="1">
      <alignment horizontal="center" vertical="center"/>
    </xf>
    <xf numFmtId="0" fontId="2" fillId="0" borderId="5" xfId="0" applyFont="1" applyBorder="1" applyAlignment="1">
      <alignment vertical="center"/>
    </xf>
    <xf numFmtId="0" fontId="15" fillId="0" borderId="0" xfId="0" applyFont="1" applyAlignment="1">
      <alignment horizontal="center"/>
    </xf>
    <xf numFmtId="0" fontId="4" fillId="0" borderId="0" xfId="0" quotePrefix="1" applyFont="1" applyAlignment="1">
      <alignment horizontal="center"/>
    </xf>
    <xf numFmtId="0" fontId="4" fillId="0" borderId="0" xfId="0" applyFont="1" applyAlignment="1">
      <alignment horizontal="center"/>
    </xf>
    <xf numFmtId="0" fontId="11" fillId="0" borderId="0" xfId="0" applyFont="1" applyAlignment="1">
      <alignment horizontal="left"/>
    </xf>
    <xf numFmtId="0" fontId="162" fillId="0" borderId="2" xfId="0" applyFont="1" applyBorder="1" applyAlignment="1">
      <alignment horizontal="center" vertical="center"/>
    </xf>
    <xf numFmtId="0" fontId="162" fillId="0" borderId="4" xfId="0" applyFont="1" applyBorder="1" applyAlignment="1">
      <alignment horizontal="center" vertical="center"/>
    </xf>
    <xf numFmtId="0" fontId="167" fillId="0" borderId="4" xfId="0" applyFont="1" applyBorder="1" applyAlignment="1">
      <alignment horizontal="center" vertical="center"/>
    </xf>
    <xf numFmtId="0" fontId="161" fillId="0" borderId="0" xfId="0" applyFont="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4" fillId="0" borderId="4" xfId="0" applyFont="1" applyBorder="1" applyAlignment="1">
      <alignment horizontal="center" vertical="center"/>
    </xf>
    <xf numFmtId="0" fontId="161" fillId="0" borderId="0" xfId="0" applyFont="1" applyAlignment="1">
      <alignment horizontal="left"/>
    </xf>
    <xf numFmtId="0" fontId="170" fillId="0" borderId="0" xfId="0" applyFont="1" applyAlignment="1">
      <alignment horizontal="left"/>
    </xf>
    <xf numFmtId="0" fontId="161" fillId="0" borderId="6" xfId="0" applyFont="1" applyBorder="1" applyAlignment="1">
      <alignment horizontal="center"/>
    </xf>
    <xf numFmtId="0" fontId="162" fillId="0" borderId="2" xfId="0" applyFont="1" applyBorder="1" applyAlignment="1">
      <alignment horizontal="center" vertical="center" wrapText="1"/>
    </xf>
    <xf numFmtId="0" fontId="10" fillId="0" borderId="0" xfId="0" quotePrefix="1" applyFont="1" applyAlignment="1">
      <alignment horizontal="center"/>
    </xf>
    <xf numFmtId="0" fontId="20" fillId="0" borderId="9" xfId="0" quotePrefix="1" applyFont="1" applyBorder="1" applyAlignment="1">
      <alignment horizontal="center" vertical="center"/>
    </xf>
    <xf numFmtId="0" fontId="20" fillId="0" borderId="5" xfId="0" applyFont="1" applyBorder="1" applyAlignment="1">
      <alignment vertical="center"/>
    </xf>
    <xf numFmtId="0" fontId="15" fillId="0" borderId="0" xfId="0" quotePrefix="1" applyFont="1" applyAlignment="1">
      <alignment horizontal="center"/>
    </xf>
    <xf numFmtId="0" fontId="160" fillId="0" borderId="0" xfId="0" applyFont="1" applyAlignment="1">
      <alignment horizontal="center"/>
    </xf>
    <xf numFmtId="0" fontId="159" fillId="0" borderId="10" xfId="0" applyFont="1" applyBorder="1" applyAlignment="1">
      <alignment horizontal="center"/>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0" fontId="4" fillId="0" borderId="3" xfId="0" applyFont="1" applyBorder="1" applyAlignment="1">
      <alignment horizontal="center" vertical="center"/>
    </xf>
    <xf numFmtId="0" fontId="20" fillId="0" borderId="6" xfId="0" applyFont="1" applyBorder="1" applyAlignment="1">
      <alignment horizontal="center"/>
    </xf>
    <xf numFmtId="0" fontId="20" fillId="0" borderId="3" xfId="0" applyFont="1" applyBorder="1" applyAlignment="1">
      <alignment vertical="center"/>
    </xf>
    <xf numFmtId="0" fontId="10" fillId="0" borderId="10" xfId="0" applyFont="1" applyFill="1" applyBorder="1" applyAlignment="1">
      <alignment horizontal="center"/>
    </xf>
    <xf numFmtId="0" fontId="10" fillId="0" borderId="0" xfId="0" applyFont="1" applyFill="1" applyBorder="1" applyAlignment="1">
      <alignment horizontal="center"/>
    </xf>
    <xf numFmtId="0" fontId="20"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5" fillId="0" borderId="0" xfId="2" applyFont="1" applyAlignment="1" applyProtection="1">
      <alignment horizontal="center"/>
    </xf>
    <xf numFmtId="0" fontId="20" fillId="0" borderId="4" xfId="0" applyFont="1" applyBorder="1" applyAlignment="1">
      <alignment vertical="center"/>
    </xf>
    <xf numFmtId="0" fontId="11" fillId="0" borderId="10" xfId="0" applyFont="1" applyFill="1" applyBorder="1" applyAlignment="1">
      <alignment horizontal="center"/>
    </xf>
    <xf numFmtId="0" fontId="11" fillId="0" borderId="0" xfId="0" applyFont="1" applyFill="1" applyAlignment="1">
      <alignment horizontal="center"/>
    </xf>
    <xf numFmtId="0" fontId="18" fillId="0" borderId="4" xfId="0" applyFont="1" applyBorder="1" applyAlignment="1">
      <alignment horizontal="center" vertical="center"/>
    </xf>
    <xf numFmtId="0" fontId="15" fillId="0" borderId="10" xfId="0" quotePrefix="1" applyFont="1" applyBorder="1" applyAlignment="1">
      <alignment horizontal="center"/>
    </xf>
    <xf numFmtId="0" fontId="11" fillId="0" borderId="0" xfId="0" applyFont="1" applyFill="1" applyBorder="1" applyAlignment="1">
      <alignment horizontal="center"/>
    </xf>
    <xf numFmtId="0" fontId="167" fillId="0" borderId="3" xfId="0" applyFont="1" applyBorder="1" applyAlignment="1">
      <alignment horizontal="center" vertical="center"/>
    </xf>
    <xf numFmtId="0" fontId="51" fillId="0" borderId="10" xfId="0" applyFont="1" applyBorder="1" applyAlignment="1">
      <alignment horizontal="center" wrapText="1"/>
    </xf>
    <xf numFmtId="0" fontId="51" fillId="0" borderId="0" xfId="0" applyFont="1" applyBorder="1" applyAlignment="1">
      <alignment horizontal="center" wrapText="1"/>
    </xf>
    <xf numFmtId="2" fontId="22" fillId="0" borderId="3" xfId="0" applyNumberFormat="1" applyFont="1" applyBorder="1" applyAlignment="1">
      <alignment horizontal="center" vertical="center"/>
    </xf>
    <xf numFmtId="0" fontId="10" fillId="0" borderId="0" xfId="0" applyFont="1" applyFill="1" applyAlignment="1">
      <alignment horizontal="center"/>
    </xf>
    <xf numFmtId="0" fontId="12" fillId="0" borderId="0" xfId="0" applyFont="1" applyAlignment="1">
      <alignment horizontal="center"/>
    </xf>
    <xf numFmtId="165" fontId="21" fillId="0" borderId="2" xfId="0" applyNumberFormat="1" applyFont="1" applyBorder="1" applyAlignment="1">
      <alignment horizontal="center" vertical="center"/>
    </xf>
    <xf numFmtId="165" fontId="0" fillId="0" borderId="4" xfId="0" applyNumberFormat="1" applyBorder="1" applyAlignment="1">
      <alignment horizontal="center" vertical="center"/>
    </xf>
    <xf numFmtId="0" fontId="3" fillId="0" borderId="0" xfId="0" quotePrefix="1" applyFont="1" applyAlignment="1">
      <alignment horizontal="center"/>
    </xf>
    <xf numFmtId="0" fontId="3" fillId="0" borderId="0" xfId="0" applyFont="1" applyAlignment="1">
      <alignment horizontal="center"/>
    </xf>
    <xf numFmtId="0" fontId="54" fillId="0" borderId="0" xfId="0" applyFont="1" applyAlignment="1">
      <alignment horizontal="left"/>
    </xf>
    <xf numFmtId="0" fontId="7" fillId="0" borderId="10" xfId="0" applyFont="1" applyFill="1" applyBorder="1" applyAlignment="1">
      <alignment horizontal="center" wrapText="1"/>
    </xf>
    <xf numFmtId="0" fontId="7" fillId="0" borderId="0" xfId="0" applyFont="1" applyFill="1" applyBorder="1" applyAlignment="1">
      <alignment horizontal="center" wrapText="1"/>
    </xf>
    <xf numFmtId="0" fontId="18" fillId="0" borderId="10" xfId="0" applyFont="1" applyFill="1" applyBorder="1" applyAlignment="1">
      <alignment horizontal="center" wrapText="1"/>
    </xf>
    <xf numFmtId="0" fontId="18" fillId="0" borderId="0" xfId="0" applyFont="1" applyFill="1" applyBorder="1" applyAlignment="1">
      <alignment horizontal="center" wrapText="1"/>
    </xf>
    <xf numFmtId="0" fontId="20" fillId="0" borderId="2" xfId="0" applyFont="1" applyFill="1" applyBorder="1" applyAlignment="1">
      <alignment horizontal="center" vertical="center" wrapText="1"/>
    </xf>
    <xf numFmtId="2" fontId="15" fillId="0" borderId="10" xfId="0" applyNumberFormat="1" applyFont="1" applyFill="1" applyBorder="1" applyAlignment="1">
      <alignment horizontal="center"/>
    </xf>
    <xf numFmtId="2" fontId="15" fillId="0" borderId="0" xfId="0" applyNumberFormat="1" applyFont="1" applyFill="1" applyBorder="1" applyAlignment="1">
      <alignment horizontal="center"/>
    </xf>
    <xf numFmtId="0" fontId="18" fillId="0" borderId="2" xfId="0" applyFont="1" applyBorder="1" applyAlignment="1">
      <alignment horizontal="left" vertical="justify" wrapText="1"/>
    </xf>
    <xf numFmtId="0" fontId="18" fillId="0" borderId="4" xfId="0" applyFont="1" applyBorder="1" applyAlignment="1">
      <alignment horizontal="left" vertical="justify" wrapText="1"/>
    </xf>
    <xf numFmtId="0" fontId="4" fillId="0" borderId="10" xfId="0" applyFont="1" applyBorder="1" applyAlignment="1">
      <alignment horizontal="center" vertical="center"/>
    </xf>
    <xf numFmtId="0" fontId="118" fillId="0" borderId="0" xfId="0" applyFont="1" applyAlignment="1">
      <alignment horizontal="center"/>
    </xf>
    <xf numFmtId="0" fontId="117" fillId="0" borderId="27" xfId="0" applyFont="1" applyBorder="1" applyAlignment="1">
      <alignment horizontal="center"/>
    </xf>
    <xf numFmtId="0" fontId="117" fillId="0" borderId="28" xfId="0" applyFont="1" applyBorder="1" applyAlignment="1">
      <alignment horizontal="center"/>
    </xf>
    <xf numFmtId="0" fontId="117" fillId="0" borderId="29" xfId="0" applyFont="1" applyBorder="1" applyAlignment="1">
      <alignment horizontal="center" vertical="center"/>
    </xf>
    <xf numFmtId="0" fontId="117" fillId="0" borderId="30" xfId="0" applyFont="1" applyBorder="1" applyAlignment="1">
      <alignment horizontal="center" vertical="center"/>
    </xf>
    <xf numFmtId="0" fontId="117" fillId="0" borderId="31" xfId="0" applyFont="1" applyBorder="1" applyAlignment="1">
      <alignment horizontal="center" vertical="center"/>
    </xf>
    <xf numFmtId="0" fontId="117" fillId="0" borderId="32" xfId="0" applyFont="1" applyBorder="1" applyAlignment="1">
      <alignment horizontal="center" vertical="center"/>
    </xf>
    <xf numFmtId="0" fontId="69" fillId="9" borderId="0" xfId="0" applyFont="1" applyFill="1" applyAlignment="1">
      <alignment horizontal="center"/>
    </xf>
    <xf numFmtId="2" fontId="41" fillId="0" borderId="0" xfId="0" applyNumberFormat="1" applyFont="1" applyAlignment="1">
      <alignment horizontal="center"/>
    </xf>
    <xf numFmtId="0" fontId="26" fillId="0" borderId="0" xfId="0" applyFont="1" applyAlignment="1">
      <alignment horizontal="center"/>
    </xf>
    <xf numFmtId="0" fontId="69" fillId="0" borderId="0" xfId="0" applyFont="1" applyAlignment="1">
      <alignment horizontal="center"/>
    </xf>
    <xf numFmtId="0" fontId="144" fillId="0" borderId="0" xfId="0" applyFont="1" applyAlignment="1">
      <alignment horizontal="center"/>
    </xf>
    <xf numFmtId="0" fontId="125" fillId="0" borderId="0" xfId="0" applyFont="1" applyFill="1" applyAlignment="1">
      <alignment horizontal="center" wrapText="1"/>
    </xf>
    <xf numFmtId="0" fontId="18" fillId="0" borderId="2" xfId="0" applyFont="1" applyBorder="1" applyAlignment="1">
      <alignment horizontal="center" vertical="center" wrapText="1"/>
    </xf>
    <xf numFmtId="0" fontId="55" fillId="0" borderId="10" xfId="0" applyFont="1" applyBorder="1" applyAlignment="1">
      <alignment horizontal="center"/>
    </xf>
    <xf numFmtId="0" fontId="55" fillId="0" borderId="0" xfId="0" applyFont="1" applyAlignment="1">
      <alignment horizontal="center"/>
    </xf>
    <xf numFmtId="0" fontId="10" fillId="0" borderId="0" xfId="0" applyFont="1" applyAlignment="1">
      <alignment horizontal="center" wrapText="1"/>
    </xf>
    <xf numFmtId="0" fontId="14" fillId="0" borderId="10" xfId="0" applyFont="1" applyBorder="1" applyAlignment="1">
      <alignment horizontal="center"/>
    </xf>
    <xf numFmtId="0" fontId="115" fillId="0" borderId="10" xfId="0" applyFont="1" applyBorder="1" applyAlignment="1">
      <alignment horizontal="center" wrapText="1"/>
    </xf>
    <xf numFmtId="0" fontId="115" fillId="0" borderId="0" xfId="0" applyFont="1" applyBorder="1" applyAlignment="1">
      <alignment horizontal="center" wrapText="1"/>
    </xf>
    <xf numFmtId="0" fontId="129" fillId="0" borderId="0" xfId="0" applyFont="1" applyBorder="1" applyAlignment="1">
      <alignment horizontal="center"/>
    </xf>
    <xf numFmtId="0" fontId="135" fillId="0" borderId="10" xfId="0" applyFont="1" applyBorder="1" applyAlignment="1">
      <alignment horizontal="center"/>
    </xf>
    <xf numFmtId="0" fontId="62" fillId="0" borderId="0" xfId="0" applyFont="1" applyAlignment="1">
      <alignment horizontal="center"/>
    </xf>
    <xf numFmtId="0" fontId="62" fillId="0" borderId="0" xfId="0" applyFont="1" applyBorder="1" applyAlignment="1">
      <alignment horizontal="center"/>
    </xf>
    <xf numFmtId="0" fontId="62" fillId="0" borderId="0" xfId="0" quotePrefix="1" applyFont="1" applyBorder="1" applyAlignment="1">
      <alignment horizontal="center"/>
    </xf>
    <xf numFmtId="0" fontId="62" fillId="0" borderId="10" xfId="0" applyFont="1" applyBorder="1" applyAlignment="1">
      <alignment horizontal="center"/>
    </xf>
    <xf numFmtId="0" fontId="135" fillId="0" borderId="0" xfId="0" applyFont="1" applyBorder="1" applyAlignment="1">
      <alignment horizontal="center"/>
    </xf>
    <xf numFmtId="0" fontId="114" fillId="0" borderId="10" xfId="0" applyFont="1" applyBorder="1" applyAlignment="1">
      <alignment horizontal="center"/>
    </xf>
    <xf numFmtId="0" fontId="114" fillId="0" borderId="0" xfId="0" applyFont="1" applyBorder="1" applyAlignment="1">
      <alignment horizontal="center"/>
    </xf>
    <xf numFmtId="0" fontId="130" fillId="0" borderId="2" xfId="0" applyFont="1" applyBorder="1" applyAlignment="1">
      <alignment horizontal="center" vertical="center" wrapText="1"/>
    </xf>
    <xf numFmtId="0" fontId="132" fillId="0" borderId="4" xfId="0" applyFont="1" applyBorder="1" applyAlignment="1">
      <alignment horizontal="center" vertical="center" wrapText="1"/>
    </xf>
    <xf numFmtId="0" fontId="132" fillId="0" borderId="3" xfId="0" applyFont="1" applyBorder="1" applyAlignment="1">
      <alignment horizontal="center" vertical="center" wrapText="1"/>
    </xf>
    <xf numFmtId="0" fontId="62" fillId="0" borderId="0" xfId="0" quotePrefix="1" applyFont="1" applyAlignment="1">
      <alignment horizontal="center"/>
    </xf>
  </cellXfs>
  <cellStyles count="3">
    <cellStyle name="Comma" xfId="1" builtinId="3"/>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66675</xdr:colOff>
      <xdr:row>1149</xdr:row>
      <xdr:rowOff>200025</xdr:rowOff>
    </xdr:from>
    <xdr:to>
      <xdr:col>2</xdr:col>
      <xdr:colOff>714375</xdr:colOff>
      <xdr:row>1151</xdr:row>
      <xdr:rowOff>0</xdr:rowOff>
    </xdr:to>
    <xdr:sp macro="" textlink="">
      <xdr:nvSpPr>
        <xdr:cNvPr id="8194" name="Text Box 2"/>
        <xdr:cNvSpPr txBox="1">
          <a:spLocks noChangeArrowheads="1"/>
        </xdr:cNvSpPr>
      </xdr:nvSpPr>
      <xdr:spPr bwMode="auto">
        <a:xfrm>
          <a:off x="1476375" y="223637475"/>
          <a:ext cx="647700" cy="2762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Preeti"/>
            </a:rPr>
            <a:t>j=dL= tyf</a:t>
          </a:r>
        </a:p>
      </xdr:txBody>
    </xdr:sp>
    <xdr:clientData/>
  </xdr:twoCellAnchor>
  <xdr:twoCellAnchor editAs="oneCell">
    <xdr:from>
      <xdr:col>2</xdr:col>
      <xdr:colOff>0</xdr:colOff>
      <xdr:row>759</xdr:row>
      <xdr:rowOff>0</xdr:rowOff>
    </xdr:from>
    <xdr:to>
      <xdr:col>2</xdr:col>
      <xdr:colOff>76200</xdr:colOff>
      <xdr:row>759</xdr:row>
      <xdr:rowOff>180975</xdr:rowOff>
    </xdr:to>
    <xdr:sp macro="" textlink="">
      <xdr:nvSpPr>
        <xdr:cNvPr id="47505" name="Text Box 5"/>
        <xdr:cNvSpPr txBox="1">
          <a:spLocks noChangeArrowheads="1"/>
        </xdr:cNvSpPr>
      </xdr:nvSpPr>
      <xdr:spPr bwMode="auto">
        <a:xfrm>
          <a:off x="1228725" y="166868475"/>
          <a:ext cx="76200" cy="180975"/>
        </a:xfrm>
        <a:prstGeom prst="rect">
          <a:avLst/>
        </a:prstGeom>
        <a:noFill/>
        <a:ln w="9525">
          <a:noFill/>
          <a:miter lim="800000"/>
          <a:headEnd/>
          <a:tailEnd/>
        </a:ln>
      </xdr:spPr>
    </xdr:sp>
    <xdr:clientData/>
  </xdr:twoCellAnchor>
  <xdr:twoCellAnchor>
    <xdr:from>
      <xdr:col>2</xdr:col>
      <xdr:colOff>114300</xdr:colOff>
      <xdr:row>1060</xdr:row>
      <xdr:rowOff>152400</xdr:rowOff>
    </xdr:from>
    <xdr:to>
      <xdr:col>2</xdr:col>
      <xdr:colOff>371475</xdr:colOff>
      <xdr:row>1061</xdr:row>
      <xdr:rowOff>85725</xdr:rowOff>
    </xdr:to>
    <xdr:sp macro="" textlink="">
      <xdr:nvSpPr>
        <xdr:cNvPr id="8198" name="Text Box 6"/>
        <xdr:cNvSpPr txBox="1">
          <a:spLocks noChangeArrowheads="1"/>
        </xdr:cNvSpPr>
      </xdr:nvSpPr>
      <xdr:spPr bwMode="auto">
        <a:xfrm>
          <a:off x="1524000" y="205606650"/>
          <a:ext cx="257175"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1082</xdr:row>
      <xdr:rowOff>161925</xdr:rowOff>
    </xdr:from>
    <xdr:to>
      <xdr:col>2</xdr:col>
      <xdr:colOff>342900</xdr:colOff>
      <xdr:row>1083</xdr:row>
      <xdr:rowOff>38100</xdr:rowOff>
    </xdr:to>
    <xdr:sp macro="" textlink="">
      <xdr:nvSpPr>
        <xdr:cNvPr id="8199" name="Text Box 7"/>
        <xdr:cNvSpPr txBox="1">
          <a:spLocks noChangeArrowheads="1"/>
        </xdr:cNvSpPr>
      </xdr:nvSpPr>
      <xdr:spPr bwMode="auto">
        <a:xfrm>
          <a:off x="1495425" y="210045300"/>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676275</xdr:colOff>
      <xdr:row>1150</xdr:row>
      <xdr:rowOff>0</xdr:rowOff>
    </xdr:from>
    <xdr:to>
      <xdr:col>2</xdr:col>
      <xdr:colOff>933450</xdr:colOff>
      <xdr:row>1150</xdr:row>
      <xdr:rowOff>228600</xdr:rowOff>
    </xdr:to>
    <xdr:sp macro="" textlink="">
      <xdr:nvSpPr>
        <xdr:cNvPr id="8200" name="Text Box 8"/>
        <xdr:cNvSpPr txBox="1">
          <a:spLocks noChangeArrowheads="1"/>
        </xdr:cNvSpPr>
      </xdr:nvSpPr>
      <xdr:spPr bwMode="auto">
        <a:xfrm>
          <a:off x="2085975" y="22367557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a:t>
          </a:r>
        </a:p>
      </xdr:txBody>
    </xdr:sp>
    <xdr:clientData/>
  </xdr:twoCellAnchor>
  <xdr:twoCellAnchor>
    <xdr:from>
      <xdr:col>2</xdr:col>
      <xdr:colOff>85725</xdr:colOff>
      <xdr:row>1173</xdr:row>
      <xdr:rowOff>152400</xdr:rowOff>
    </xdr:from>
    <xdr:to>
      <xdr:col>2</xdr:col>
      <xdr:colOff>342900</xdr:colOff>
      <xdr:row>1174</xdr:row>
      <xdr:rowOff>95250</xdr:rowOff>
    </xdr:to>
    <xdr:sp macro="" textlink="">
      <xdr:nvSpPr>
        <xdr:cNvPr id="8201" name="Text Box 9"/>
        <xdr:cNvSpPr txBox="1">
          <a:spLocks noChangeArrowheads="1"/>
        </xdr:cNvSpPr>
      </xdr:nvSpPr>
      <xdr:spPr bwMode="auto">
        <a:xfrm>
          <a:off x="1381125" y="256984500"/>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1578</xdr:row>
      <xdr:rowOff>0</xdr:rowOff>
    </xdr:from>
    <xdr:to>
      <xdr:col>2</xdr:col>
      <xdr:colOff>342900</xdr:colOff>
      <xdr:row>1578</xdr:row>
      <xdr:rowOff>0</xdr:rowOff>
    </xdr:to>
    <xdr:sp macro="" textlink="">
      <xdr:nvSpPr>
        <xdr:cNvPr id="8202" name="Text Box 10"/>
        <xdr:cNvSpPr txBox="1">
          <a:spLocks noChangeArrowheads="1"/>
        </xdr:cNvSpPr>
      </xdr:nvSpPr>
      <xdr:spPr bwMode="auto">
        <a:xfrm>
          <a:off x="149542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1578</xdr:row>
      <xdr:rowOff>0</xdr:rowOff>
    </xdr:from>
    <xdr:to>
      <xdr:col>2</xdr:col>
      <xdr:colOff>361950</xdr:colOff>
      <xdr:row>1578</xdr:row>
      <xdr:rowOff>0</xdr:rowOff>
    </xdr:to>
    <xdr:sp macro="" textlink="">
      <xdr:nvSpPr>
        <xdr:cNvPr id="8203" name="Text Box 11"/>
        <xdr:cNvSpPr txBox="1">
          <a:spLocks noChangeArrowheads="1"/>
        </xdr:cNvSpPr>
      </xdr:nvSpPr>
      <xdr:spPr bwMode="auto">
        <a:xfrm>
          <a:off x="151447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95250</xdr:colOff>
      <xdr:row>693</xdr:row>
      <xdr:rowOff>152400</xdr:rowOff>
    </xdr:from>
    <xdr:to>
      <xdr:col>2</xdr:col>
      <xdr:colOff>361950</xdr:colOff>
      <xdr:row>694</xdr:row>
      <xdr:rowOff>95250</xdr:rowOff>
    </xdr:to>
    <xdr:sp macro="" textlink="">
      <xdr:nvSpPr>
        <xdr:cNvPr id="8204" name="Text Box 12"/>
        <xdr:cNvSpPr txBox="1">
          <a:spLocks noChangeArrowheads="1"/>
        </xdr:cNvSpPr>
      </xdr:nvSpPr>
      <xdr:spPr bwMode="auto">
        <a:xfrm>
          <a:off x="1504950" y="150466425"/>
          <a:ext cx="266700"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95250</xdr:colOff>
      <xdr:row>1004</xdr:row>
      <xdr:rowOff>152400</xdr:rowOff>
    </xdr:from>
    <xdr:to>
      <xdr:col>2</xdr:col>
      <xdr:colOff>361950</xdr:colOff>
      <xdr:row>1005</xdr:row>
      <xdr:rowOff>85725</xdr:rowOff>
    </xdr:to>
    <xdr:sp macro="" textlink="">
      <xdr:nvSpPr>
        <xdr:cNvPr id="8205" name="Text Box 13"/>
        <xdr:cNvSpPr txBox="1">
          <a:spLocks noChangeArrowheads="1"/>
        </xdr:cNvSpPr>
      </xdr:nvSpPr>
      <xdr:spPr bwMode="auto">
        <a:xfrm>
          <a:off x="1504950" y="192843150"/>
          <a:ext cx="266700"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95250</xdr:colOff>
      <xdr:row>1019</xdr:row>
      <xdr:rowOff>171450</xdr:rowOff>
    </xdr:from>
    <xdr:to>
      <xdr:col>2</xdr:col>
      <xdr:colOff>361950</xdr:colOff>
      <xdr:row>1020</xdr:row>
      <xdr:rowOff>104775</xdr:rowOff>
    </xdr:to>
    <xdr:sp macro="" textlink="">
      <xdr:nvSpPr>
        <xdr:cNvPr id="8206" name="Text Box 14"/>
        <xdr:cNvSpPr txBox="1">
          <a:spLocks noChangeArrowheads="1"/>
        </xdr:cNvSpPr>
      </xdr:nvSpPr>
      <xdr:spPr bwMode="auto">
        <a:xfrm>
          <a:off x="1504950" y="196757925"/>
          <a:ext cx="266700"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1578</xdr:row>
      <xdr:rowOff>0</xdr:rowOff>
    </xdr:from>
    <xdr:to>
      <xdr:col>2</xdr:col>
      <xdr:colOff>342900</xdr:colOff>
      <xdr:row>1578</xdr:row>
      <xdr:rowOff>0</xdr:rowOff>
    </xdr:to>
    <xdr:sp macro="" textlink="">
      <xdr:nvSpPr>
        <xdr:cNvPr id="8207" name="Text Box 15"/>
        <xdr:cNvSpPr txBox="1">
          <a:spLocks noChangeArrowheads="1"/>
        </xdr:cNvSpPr>
      </xdr:nvSpPr>
      <xdr:spPr bwMode="auto">
        <a:xfrm>
          <a:off x="149542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1578</xdr:row>
      <xdr:rowOff>0</xdr:rowOff>
    </xdr:from>
    <xdr:to>
      <xdr:col>2</xdr:col>
      <xdr:colOff>342900</xdr:colOff>
      <xdr:row>1578</xdr:row>
      <xdr:rowOff>0</xdr:rowOff>
    </xdr:to>
    <xdr:sp macro="" textlink="">
      <xdr:nvSpPr>
        <xdr:cNvPr id="8208" name="Text Box 16"/>
        <xdr:cNvSpPr txBox="1">
          <a:spLocks noChangeArrowheads="1"/>
        </xdr:cNvSpPr>
      </xdr:nvSpPr>
      <xdr:spPr bwMode="auto">
        <a:xfrm>
          <a:off x="149542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1578</xdr:row>
      <xdr:rowOff>0</xdr:rowOff>
    </xdr:from>
    <xdr:to>
      <xdr:col>2</xdr:col>
      <xdr:colOff>342900</xdr:colOff>
      <xdr:row>1578</xdr:row>
      <xdr:rowOff>0</xdr:rowOff>
    </xdr:to>
    <xdr:sp macro="" textlink="">
      <xdr:nvSpPr>
        <xdr:cNvPr id="8209" name="Text Box 17"/>
        <xdr:cNvSpPr txBox="1">
          <a:spLocks noChangeArrowheads="1"/>
        </xdr:cNvSpPr>
      </xdr:nvSpPr>
      <xdr:spPr bwMode="auto">
        <a:xfrm>
          <a:off x="149542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1578</xdr:row>
      <xdr:rowOff>0</xdr:rowOff>
    </xdr:from>
    <xdr:to>
      <xdr:col>2</xdr:col>
      <xdr:colOff>342900</xdr:colOff>
      <xdr:row>1578</xdr:row>
      <xdr:rowOff>0</xdr:rowOff>
    </xdr:to>
    <xdr:sp macro="" textlink="">
      <xdr:nvSpPr>
        <xdr:cNvPr id="8210" name="Text Box 18"/>
        <xdr:cNvSpPr txBox="1">
          <a:spLocks noChangeArrowheads="1"/>
        </xdr:cNvSpPr>
      </xdr:nvSpPr>
      <xdr:spPr bwMode="auto">
        <a:xfrm>
          <a:off x="149542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1578</xdr:row>
      <xdr:rowOff>0</xdr:rowOff>
    </xdr:from>
    <xdr:to>
      <xdr:col>2</xdr:col>
      <xdr:colOff>342900</xdr:colOff>
      <xdr:row>1578</xdr:row>
      <xdr:rowOff>0</xdr:rowOff>
    </xdr:to>
    <xdr:sp macro="" textlink="">
      <xdr:nvSpPr>
        <xdr:cNvPr id="8211" name="Text Box 19"/>
        <xdr:cNvSpPr txBox="1">
          <a:spLocks noChangeArrowheads="1"/>
        </xdr:cNvSpPr>
      </xdr:nvSpPr>
      <xdr:spPr bwMode="auto">
        <a:xfrm>
          <a:off x="149542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419100</xdr:colOff>
      <xdr:row>1581</xdr:row>
      <xdr:rowOff>85725</xdr:rowOff>
    </xdr:from>
    <xdr:to>
      <xdr:col>2</xdr:col>
      <xdr:colOff>676275</xdr:colOff>
      <xdr:row>1582</xdr:row>
      <xdr:rowOff>9525</xdr:rowOff>
    </xdr:to>
    <xdr:sp macro="" textlink="">
      <xdr:nvSpPr>
        <xdr:cNvPr id="8212" name="Text Box 20"/>
        <xdr:cNvSpPr txBox="1">
          <a:spLocks noChangeArrowheads="1"/>
        </xdr:cNvSpPr>
      </xdr:nvSpPr>
      <xdr:spPr bwMode="auto">
        <a:xfrm>
          <a:off x="1647825" y="3458622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409575</xdr:colOff>
      <xdr:row>1622</xdr:row>
      <xdr:rowOff>152400</xdr:rowOff>
    </xdr:from>
    <xdr:to>
      <xdr:col>2</xdr:col>
      <xdr:colOff>666750</xdr:colOff>
      <xdr:row>1624</xdr:row>
      <xdr:rowOff>38100</xdr:rowOff>
    </xdr:to>
    <xdr:sp macro="" textlink="">
      <xdr:nvSpPr>
        <xdr:cNvPr id="8214" name="Text Box 22"/>
        <xdr:cNvSpPr txBox="1">
          <a:spLocks noChangeArrowheads="1"/>
        </xdr:cNvSpPr>
      </xdr:nvSpPr>
      <xdr:spPr bwMode="auto">
        <a:xfrm>
          <a:off x="1704975" y="354501450"/>
          <a:ext cx="2571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485775</xdr:colOff>
      <xdr:row>1639</xdr:row>
      <xdr:rowOff>133350</xdr:rowOff>
    </xdr:from>
    <xdr:to>
      <xdr:col>2</xdr:col>
      <xdr:colOff>742950</xdr:colOff>
      <xdr:row>1640</xdr:row>
      <xdr:rowOff>85725</xdr:rowOff>
    </xdr:to>
    <xdr:sp macro="" textlink="">
      <xdr:nvSpPr>
        <xdr:cNvPr id="8215" name="Text Box 23"/>
        <xdr:cNvSpPr txBox="1">
          <a:spLocks noChangeArrowheads="1"/>
        </xdr:cNvSpPr>
      </xdr:nvSpPr>
      <xdr:spPr bwMode="auto">
        <a:xfrm>
          <a:off x="1743075" y="358549575"/>
          <a:ext cx="257175"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476250</xdr:colOff>
      <xdr:row>1665</xdr:row>
      <xdr:rowOff>123825</xdr:rowOff>
    </xdr:from>
    <xdr:to>
      <xdr:col>2</xdr:col>
      <xdr:colOff>733425</xdr:colOff>
      <xdr:row>1667</xdr:row>
      <xdr:rowOff>19050</xdr:rowOff>
    </xdr:to>
    <xdr:sp macro="" textlink="">
      <xdr:nvSpPr>
        <xdr:cNvPr id="8216" name="Text Box 24"/>
        <xdr:cNvSpPr txBox="1">
          <a:spLocks noChangeArrowheads="1"/>
        </xdr:cNvSpPr>
      </xdr:nvSpPr>
      <xdr:spPr bwMode="auto">
        <a:xfrm>
          <a:off x="1704975" y="362807250"/>
          <a:ext cx="257175" cy="323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400050</xdr:colOff>
      <xdr:row>1683</xdr:row>
      <xdr:rowOff>161925</xdr:rowOff>
    </xdr:from>
    <xdr:to>
      <xdr:col>2</xdr:col>
      <xdr:colOff>657225</xdr:colOff>
      <xdr:row>1684</xdr:row>
      <xdr:rowOff>76200</xdr:rowOff>
    </xdr:to>
    <xdr:sp macro="" textlink="">
      <xdr:nvSpPr>
        <xdr:cNvPr id="8217" name="Text Box 25"/>
        <xdr:cNvSpPr txBox="1">
          <a:spLocks noChangeArrowheads="1"/>
        </xdr:cNvSpPr>
      </xdr:nvSpPr>
      <xdr:spPr bwMode="auto">
        <a:xfrm>
          <a:off x="1628775" y="366988725"/>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428625</xdr:colOff>
      <xdr:row>1715</xdr:row>
      <xdr:rowOff>57150</xdr:rowOff>
    </xdr:from>
    <xdr:to>
      <xdr:col>2</xdr:col>
      <xdr:colOff>685800</xdr:colOff>
      <xdr:row>1715</xdr:row>
      <xdr:rowOff>209550</xdr:rowOff>
    </xdr:to>
    <xdr:sp macro="" textlink="">
      <xdr:nvSpPr>
        <xdr:cNvPr id="8218" name="Text Box 26"/>
        <xdr:cNvSpPr txBox="1">
          <a:spLocks noChangeArrowheads="1"/>
        </xdr:cNvSpPr>
      </xdr:nvSpPr>
      <xdr:spPr bwMode="auto">
        <a:xfrm>
          <a:off x="1657350" y="37032247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466725</xdr:colOff>
      <xdr:row>2050</xdr:row>
      <xdr:rowOff>152400</xdr:rowOff>
    </xdr:from>
    <xdr:to>
      <xdr:col>2</xdr:col>
      <xdr:colOff>723900</xdr:colOff>
      <xdr:row>2051</xdr:row>
      <xdr:rowOff>104775</xdr:rowOff>
    </xdr:to>
    <xdr:sp macro="" textlink="">
      <xdr:nvSpPr>
        <xdr:cNvPr id="8222" name="Text Box 30"/>
        <xdr:cNvSpPr txBox="1">
          <a:spLocks noChangeArrowheads="1"/>
        </xdr:cNvSpPr>
      </xdr:nvSpPr>
      <xdr:spPr bwMode="auto">
        <a:xfrm>
          <a:off x="1724025" y="471506550"/>
          <a:ext cx="257175"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314325</xdr:colOff>
      <xdr:row>2067</xdr:row>
      <xdr:rowOff>123825</xdr:rowOff>
    </xdr:from>
    <xdr:to>
      <xdr:col>2</xdr:col>
      <xdr:colOff>571500</xdr:colOff>
      <xdr:row>2068</xdr:row>
      <xdr:rowOff>57150</xdr:rowOff>
    </xdr:to>
    <xdr:sp macro="" textlink="">
      <xdr:nvSpPr>
        <xdr:cNvPr id="8223" name="Text Box 31"/>
        <xdr:cNvSpPr txBox="1">
          <a:spLocks noChangeArrowheads="1"/>
        </xdr:cNvSpPr>
      </xdr:nvSpPr>
      <xdr:spPr bwMode="auto">
        <a:xfrm>
          <a:off x="1609725" y="4749927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285750</xdr:colOff>
      <xdr:row>2091</xdr:row>
      <xdr:rowOff>95250</xdr:rowOff>
    </xdr:from>
    <xdr:to>
      <xdr:col>2</xdr:col>
      <xdr:colOff>542925</xdr:colOff>
      <xdr:row>2092</xdr:row>
      <xdr:rowOff>38100</xdr:rowOff>
    </xdr:to>
    <xdr:sp macro="" textlink="">
      <xdr:nvSpPr>
        <xdr:cNvPr id="8224" name="Text Box 32"/>
        <xdr:cNvSpPr txBox="1">
          <a:spLocks noChangeArrowheads="1"/>
        </xdr:cNvSpPr>
      </xdr:nvSpPr>
      <xdr:spPr bwMode="auto">
        <a:xfrm>
          <a:off x="1581150" y="480812475"/>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419100</xdr:colOff>
      <xdr:row>2220</xdr:row>
      <xdr:rowOff>95250</xdr:rowOff>
    </xdr:from>
    <xdr:to>
      <xdr:col>2</xdr:col>
      <xdr:colOff>676275</xdr:colOff>
      <xdr:row>2221</xdr:row>
      <xdr:rowOff>28575</xdr:rowOff>
    </xdr:to>
    <xdr:sp macro="" textlink="">
      <xdr:nvSpPr>
        <xdr:cNvPr id="8225" name="Text Box 33"/>
        <xdr:cNvSpPr txBox="1">
          <a:spLocks noChangeArrowheads="1"/>
        </xdr:cNvSpPr>
      </xdr:nvSpPr>
      <xdr:spPr bwMode="auto">
        <a:xfrm>
          <a:off x="1676400" y="50856832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400050</xdr:colOff>
      <xdr:row>2161</xdr:row>
      <xdr:rowOff>104775</xdr:rowOff>
    </xdr:from>
    <xdr:to>
      <xdr:col>2</xdr:col>
      <xdr:colOff>657225</xdr:colOff>
      <xdr:row>2162</xdr:row>
      <xdr:rowOff>19050</xdr:rowOff>
    </xdr:to>
    <xdr:sp macro="" textlink="">
      <xdr:nvSpPr>
        <xdr:cNvPr id="8226" name="Text Box 34"/>
        <xdr:cNvSpPr txBox="1">
          <a:spLocks noChangeArrowheads="1"/>
        </xdr:cNvSpPr>
      </xdr:nvSpPr>
      <xdr:spPr bwMode="auto">
        <a:xfrm>
          <a:off x="1695450" y="4947951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542925</xdr:colOff>
      <xdr:row>2177</xdr:row>
      <xdr:rowOff>76200</xdr:rowOff>
    </xdr:from>
    <xdr:to>
      <xdr:col>2</xdr:col>
      <xdr:colOff>800100</xdr:colOff>
      <xdr:row>2177</xdr:row>
      <xdr:rowOff>219075</xdr:rowOff>
    </xdr:to>
    <xdr:sp macro="" textlink="">
      <xdr:nvSpPr>
        <xdr:cNvPr id="8227" name="Text Box 35"/>
        <xdr:cNvSpPr txBox="1">
          <a:spLocks noChangeArrowheads="1"/>
        </xdr:cNvSpPr>
      </xdr:nvSpPr>
      <xdr:spPr bwMode="auto">
        <a:xfrm>
          <a:off x="1800225" y="49862422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381000</xdr:colOff>
      <xdr:row>2208</xdr:row>
      <xdr:rowOff>171450</xdr:rowOff>
    </xdr:from>
    <xdr:to>
      <xdr:col>2</xdr:col>
      <xdr:colOff>638175</xdr:colOff>
      <xdr:row>2209</xdr:row>
      <xdr:rowOff>95250</xdr:rowOff>
    </xdr:to>
    <xdr:sp macro="" textlink="">
      <xdr:nvSpPr>
        <xdr:cNvPr id="8228" name="Text Box 36"/>
        <xdr:cNvSpPr txBox="1">
          <a:spLocks noChangeArrowheads="1"/>
        </xdr:cNvSpPr>
      </xdr:nvSpPr>
      <xdr:spPr bwMode="auto">
        <a:xfrm>
          <a:off x="1638300" y="50582512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476250</xdr:colOff>
      <xdr:row>2446</xdr:row>
      <xdr:rowOff>114300</xdr:rowOff>
    </xdr:from>
    <xdr:to>
      <xdr:col>2</xdr:col>
      <xdr:colOff>733425</xdr:colOff>
      <xdr:row>2447</xdr:row>
      <xdr:rowOff>28575</xdr:rowOff>
    </xdr:to>
    <xdr:sp macro="" textlink="">
      <xdr:nvSpPr>
        <xdr:cNvPr id="8229" name="Text Box 37"/>
        <xdr:cNvSpPr txBox="1">
          <a:spLocks noChangeArrowheads="1"/>
        </xdr:cNvSpPr>
      </xdr:nvSpPr>
      <xdr:spPr bwMode="auto">
        <a:xfrm>
          <a:off x="1790700" y="55787925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552450</xdr:colOff>
      <xdr:row>2462</xdr:row>
      <xdr:rowOff>114300</xdr:rowOff>
    </xdr:from>
    <xdr:to>
      <xdr:col>2</xdr:col>
      <xdr:colOff>809625</xdr:colOff>
      <xdr:row>2463</xdr:row>
      <xdr:rowOff>47625</xdr:rowOff>
    </xdr:to>
    <xdr:sp macro="" textlink="">
      <xdr:nvSpPr>
        <xdr:cNvPr id="8230" name="Text Box 38"/>
        <xdr:cNvSpPr txBox="1">
          <a:spLocks noChangeArrowheads="1"/>
        </xdr:cNvSpPr>
      </xdr:nvSpPr>
      <xdr:spPr bwMode="auto">
        <a:xfrm>
          <a:off x="1866900" y="51961732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428625</xdr:colOff>
      <xdr:row>2235</xdr:row>
      <xdr:rowOff>142875</xdr:rowOff>
    </xdr:from>
    <xdr:to>
      <xdr:col>2</xdr:col>
      <xdr:colOff>685800</xdr:colOff>
      <xdr:row>2236</xdr:row>
      <xdr:rowOff>66675</xdr:rowOff>
    </xdr:to>
    <xdr:sp macro="" textlink="">
      <xdr:nvSpPr>
        <xdr:cNvPr id="8231" name="Text Box 39"/>
        <xdr:cNvSpPr txBox="1">
          <a:spLocks noChangeArrowheads="1"/>
        </xdr:cNvSpPr>
      </xdr:nvSpPr>
      <xdr:spPr bwMode="auto">
        <a:xfrm>
          <a:off x="1743075" y="5120163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742950</xdr:colOff>
      <xdr:row>2268</xdr:row>
      <xdr:rowOff>180975</xdr:rowOff>
    </xdr:from>
    <xdr:to>
      <xdr:col>2</xdr:col>
      <xdr:colOff>1000125</xdr:colOff>
      <xdr:row>2269</xdr:row>
      <xdr:rowOff>85725</xdr:rowOff>
    </xdr:to>
    <xdr:sp macro="" textlink="">
      <xdr:nvSpPr>
        <xdr:cNvPr id="8232" name="Text Box 40"/>
        <xdr:cNvSpPr txBox="1">
          <a:spLocks noChangeArrowheads="1"/>
        </xdr:cNvSpPr>
      </xdr:nvSpPr>
      <xdr:spPr bwMode="auto">
        <a:xfrm>
          <a:off x="2057400" y="519503025"/>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361950</xdr:colOff>
      <xdr:row>2284</xdr:row>
      <xdr:rowOff>161925</xdr:rowOff>
    </xdr:from>
    <xdr:to>
      <xdr:col>2</xdr:col>
      <xdr:colOff>619125</xdr:colOff>
      <xdr:row>2285</xdr:row>
      <xdr:rowOff>85725</xdr:rowOff>
    </xdr:to>
    <xdr:sp macro="" textlink="">
      <xdr:nvSpPr>
        <xdr:cNvPr id="8233" name="Text Box 41"/>
        <xdr:cNvSpPr txBox="1">
          <a:spLocks noChangeArrowheads="1"/>
        </xdr:cNvSpPr>
      </xdr:nvSpPr>
      <xdr:spPr bwMode="auto">
        <a:xfrm>
          <a:off x="1657350" y="52300822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533400</xdr:colOff>
      <xdr:row>2342</xdr:row>
      <xdr:rowOff>114300</xdr:rowOff>
    </xdr:from>
    <xdr:to>
      <xdr:col>2</xdr:col>
      <xdr:colOff>790575</xdr:colOff>
      <xdr:row>2343</xdr:row>
      <xdr:rowOff>171450</xdr:rowOff>
    </xdr:to>
    <xdr:sp macro="" textlink="">
      <xdr:nvSpPr>
        <xdr:cNvPr id="8235" name="Text Box 43"/>
        <xdr:cNvSpPr txBox="1">
          <a:spLocks noChangeArrowheads="1"/>
        </xdr:cNvSpPr>
      </xdr:nvSpPr>
      <xdr:spPr bwMode="auto">
        <a:xfrm>
          <a:off x="1847850" y="534838275"/>
          <a:ext cx="257175" cy="285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504825</xdr:colOff>
      <xdr:row>2388</xdr:row>
      <xdr:rowOff>104775</xdr:rowOff>
    </xdr:from>
    <xdr:to>
      <xdr:col>2</xdr:col>
      <xdr:colOff>762000</xdr:colOff>
      <xdr:row>2389</xdr:row>
      <xdr:rowOff>38100</xdr:rowOff>
    </xdr:to>
    <xdr:sp macro="" textlink="">
      <xdr:nvSpPr>
        <xdr:cNvPr id="8236" name="Text Box 44"/>
        <xdr:cNvSpPr txBox="1">
          <a:spLocks noChangeArrowheads="1"/>
        </xdr:cNvSpPr>
      </xdr:nvSpPr>
      <xdr:spPr bwMode="auto">
        <a:xfrm>
          <a:off x="1819275" y="5451729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438150</xdr:colOff>
      <xdr:row>2401</xdr:row>
      <xdr:rowOff>171450</xdr:rowOff>
    </xdr:from>
    <xdr:to>
      <xdr:col>2</xdr:col>
      <xdr:colOff>695325</xdr:colOff>
      <xdr:row>2402</xdr:row>
      <xdr:rowOff>76200</xdr:rowOff>
    </xdr:to>
    <xdr:sp macro="" textlink="">
      <xdr:nvSpPr>
        <xdr:cNvPr id="8238" name="Text Box 46"/>
        <xdr:cNvSpPr txBox="1">
          <a:spLocks noChangeArrowheads="1"/>
        </xdr:cNvSpPr>
      </xdr:nvSpPr>
      <xdr:spPr bwMode="auto">
        <a:xfrm>
          <a:off x="1752600" y="548411400"/>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428625</xdr:colOff>
      <xdr:row>2477</xdr:row>
      <xdr:rowOff>142875</xdr:rowOff>
    </xdr:from>
    <xdr:to>
      <xdr:col>2</xdr:col>
      <xdr:colOff>685800</xdr:colOff>
      <xdr:row>2478</xdr:row>
      <xdr:rowOff>38100</xdr:rowOff>
    </xdr:to>
    <xdr:sp macro="" textlink="">
      <xdr:nvSpPr>
        <xdr:cNvPr id="8239" name="Text Box 47"/>
        <xdr:cNvSpPr txBox="1">
          <a:spLocks noChangeArrowheads="1"/>
        </xdr:cNvSpPr>
      </xdr:nvSpPr>
      <xdr:spPr bwMode="auto">
        <a:xfrm>
          <a:off x="1743075" y="56429910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495300</xdr:colOff>
      <xdr:row>2432</xdr:row>
      <xdr:rowOff>95250</xdr:rowOff>
    </xdr:from>
    <xdr:to>
      <xdr:col>2</xdr:col>
      <xdr:colOff>752475</xdr:colOff>
      <xdr:row>2433</xdr:row>
      <xdr:rowOff>0</xdr:rowOff>
    </xdr:to>
    <xdr:sp macro="" textlink="">
      <xdr:nvSpPr>
        <xdr:cNvPr id="8240" name="Text Box 48"/>
        <xdr:cNvSpPr txBox="1">
          <a:spLocks noChangeArrowheads="1"/>
        </xdr:cNvSpPr>
      </xdr:nvSpPr>
      <xdr:spPr bwMode="auto">
        <a:xfrm>
          <a:off x="1809750" y="554069250"/>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276225</xdr:colOff>
      <xdr:row>2708</xdr:row>
      <xdr:rowOff>142875</xdr:rowOff>
    </xdr:from>
    <xdr:to>
      <xdr:col>2</xdr:col>
      <xdr:colOff>533400</xdr:colOff>
      <xdr:row>2709</xdr:row>
      <xdr:rowOff>38100</xdr:rowOff>
    </xdr:to>
    <xdr:sp macro="" textlink="">
      <xdr:nvSpPr>
        <xdr:cNvPr id="8241" name="Text Box 49"/>
        <xdr:cNvSpPr txBox="1">
          <a:spLocks noChangeArrowheads="1"/>
        </xdr:cNvSpPr>
      </xdr:nvSpPr>
      <xdr:spPr bwMode="auto">
        <a:xfrm>
          <a:off x="1571625" y="6162198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447675</xdr:colOff>
      <xdr:row>2720</xdr:row>
      <xdr:rowOff>152400</xdr:rowOff>
    </xdr:from>
    <xdr:to>
      <xdr:col>2</xdr:col>
      <xdr:colOff>704850</xdr:colOff>
      <xdr:row>2721</xdr:row>
      <xdr:rowOff>123825</xdr:rowOff>
    </xdr:to>
    <xdr:sp macro="" textlink="">
      <xdr:nvSpPr>
        <xdr:cNvPr id="8243" name="Text Box 51"/>
        <xdr:cNvSpPr txBox="1">
          <a:spLocks noChangeArrowheads="1"/>
        </xdr:cNvSpPr>
      </xdr:nvSpPr>
      <xdr:spPr bwMode="auto">
        <a:xfrm>
          <a:off x="1743075" y="61968697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542925</xdr:colOff>
      <xdr:row>2751</xdr:row>
      <xdr:rowOff>19050</xdr:rowOff>
    </xdr:from>
    <xdr:to>
      <xdr:col>2</xdr:col>
      <xdr:colOff>800100</xdr:colOff>
      <xdr:row>2751</xdr:row>
      <xdr:rowOff>161925</xdr:rowOff>
    </xdr:to>
    <xdr:sp macro="" textlink="">
      <xdr:nvSpPr>
        <xdr:cNvPr id="8244" name="Text Box 52"/>
        <xdr:cNvSpPr txBox="1">
          <a:spLocks noChangeArrowheads="1"/>
        </xdr:cNvSpPr>
      </xdr:nvSpPr>
      <xdr:spPr bwMode="auto">
        <a:xfrm>
          <a:off x="1838325" y="62609730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523875</xdr:colOff>
      <xdr:row>2763</xdr:row>
      <xdr:rowOff>142875</xdr:rowOff>
    </xdr:from>
    <xdr:to>
      <xdr:col>2</xdr:col>
      <xdr:colOff>781050</xdr:colOff>
      <xdr:row>2764</xdr:row>
      <xdr:rowOff>38100</xdr:rowOff>
    </xdr:to>
    <xdr:sp macro="" textlink="">
      <xdr:nvSpPr>
        <xdr:cNvPr id="8245" name="Text Box 53"/>
        <xdr:cNvSpPr txBox="1">
          <a:spLocks noChangeArrowheads="1"/>
        </xdr:cNvSpPr>
      </xdr:nvSpPr>
      <xdr:spPr bwMode="auto">
        <a:xfrm>
          <a:off x="1819275" y="62957392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447675</xdr:colOff>
      <xdr:row>2779</xdr:row>
      <xdr:rowOff>142875</xdr:rowOff>
    </xdr:from>
    <xdr:to>
      <xdr:col>2</xdr:col>
      <xdr:colOff>704850</xdr:colOff>
      <xdr:row>2780</xdr:row>
      <xdr:rowOff>114300</xdr:rowOff>
    </xdr:to>
    <xdr:sp macro="" textlink="">
      <xdr:nvSpPr>
        <xdr:cNvPr id="8246" name="Text Box 54"/>
        <xdr:cNvSpPr txBox="1">
          <a:spLocks noChangeArrowheads="1"/>
        </xdr:cNvSpPr>
      </xdr:nvSpPr>
      <xdr:spPr bwMode="auto">
        <a:xfrm>
          <a:off x="1743075" y="632936250"/>
          <a:ext cx="257175"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552450</xdr:colOff>
      <xdr:row>2794</xdr:row>
      <xdr:rowOff>180975</xdr:rowOff>
    </xdr:from>
    <xdr:to>
      <xdr:col>2</xdr:col>
      <xdr:colOff>809625</xdr:colOff>
      <xdr:row>2795</xdr:row>
      <xdr:rowOff>133350</xdr:rowOff>
    </xdr:to>
    <xdr:sp macro="" textlink="">
      <xdr:nvSpPr>
        <xdr:cNvPr id="8247" name="Text Box 55"/>
        <xdr:cNvSpPr txBox="1">
          <a:spLocks noChangeArrowheads="1"/>
        </xdr:cNvSpPr>
      </xdr:nvSpPr>
      <xdr:spPr bwMode="auto">
        <a:xfrm>
          <a:off x="1847850" y="636041400"/>
          <a:ext cx="257175"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485775</xdr:colOff>
      <xdr:row>2805</xdr:row>
      <xdr:rowOff>161925</xdr:rowOff>
    </xdr:from>
    <xdr:to>
      <xdr:col>2</xdr:col>
      <xdr:colOff>742950</xdr:colOff>
      <xdr:row>2806</xdr:row>
      <xdr:rowOff>123825</xdr:rowOff>
    </xdr:to>
    <xdr:sp macro="" textlink="">
      <xdr:nvSpPr>
        <xdr:cNvPr id="8248" name="Text Box 56"/>
        <xdr:cNvSpPr txBox="1">
          <a:spLocks noChangeArrowheads="1"/>
        </xdr:cNvSpPr>
      </xdr:nvSpPr>
      <xdr:spPr bwMode="auto">
        <a:xfrm>
          <a:off x="1781175" y="639498975"/>
          <a:ext cx="257175" cy="1905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400050</xdr:colOff>
      <xdr:row>2838</xdr:row>
      <xdr:rowOff>190500</xdr:rowOff>
    </xdr:from>
    <xdr:to>
      <xdr:col>2</xdr:col>
      <xdr:colOff>657225</xdr:colOff>
      <xdr:row>2839</xdr:row>
      <xdr:rowOff>76200</xdr:rowOff>
    </xdr:to>
    <xdr:sp macro="" textlink="">
      <xdr:nvSpPr>
        <xdr:cNvPr id="8249" name="Text Box 57"/>
        <xdr:cNvSpPr txBox="1">
          <a:spLocks noChangeArrowheads="1"/>
        </xdr:cNvSpPr>
      </xdr:nvSpPr>
      <xdr:spPr bwMode="auto">
        <a:xfrm>
          <a:off x="1695450" y="645585450"/>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504825</xdr:colOff>
      <xdr:row>2852</xdr:row>
      <xdr:rowOff>161925</xdr:rowOff>
    </xdr:from>
    <xdr:to>
      <xdr:col>2</xdr:col>
      <xdr:colOff>762000</xdr:colOff>
      <xdr:row>2853</xdr:row>
      <xdr:rowOff>57150</xdr:rowOff>
    </xdr:to>
    <xdr:sp macro="" textlink="">
      <xdr:nvSpPr>
        <xdr:cNvPr id="8250" name="Text Box 58"/>
        <xdr:cNvSpPr txBox="1">
          <a:spLocks noChangeArrowheads="1"/>
        </xdr:cNvSpPr>
      </xdr:nvSpPr>
      <xdr:spPr bwMode="auto">
        <a:xfrm>
          <a:off x="1800225" y="6489858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400050</xdr:colOff>
      <xdr:row>3083</xdr:row>
      <xdr:rowOff>171450</xdr:rowOff>
    </xdr:from>
    <xdr:to>
      <xdr:col>2</xdr:col>
      <xdr:colOff>657225</xdr:colOff>
      <xdr:row>3084</xdr:row>
      <xdr:rowOff>104775</xdr:rowOff>
    </xdr:to>
    <xdr:sp macro="" textlink="">
      <xdr:nvSpPr>
        <xdr:cNvPr id="8251" name="Text Box 59"/>
        <xdr:cNvSpPr txBox="1">
          <a:spLocks noChangeArrowheads="1"/>
        </xdr:cNvSpPr>
      </xdr:nvSpPr>
      <xdr:spPr bwMode="auto">
        <a:xfrm>
          <a:off x="1695450" y="70255447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266700</xdr:colOff>
      <xdr:row>3099</xdr:row>
      <xdr:rowOff>190500</xdr:rowOff>
    </xdr:from>
    <xdr:to>
      <xdr:col>2</xdr:col>
      <xdr:colOff>523875</xdr:colOff>
      <xdr:row>3100</xdr:row>
      <xdr:rowOff>66675</xdr:rowOff>
    </xdr:to>
    <xdr:sp macro="" textlink="">
      <xdr:nvSpPr>
        <xdr:cNvPr id="8252" name="Text Box 60"/>
        <xdr:cNvSpPr txBox="1">
          <a:spLocks noChangeArrowheads="1"/>
        </xdr:cNvSpPr>
      </xdr:nvSpPr>
      <xdr:spPr bwMode="auto">
        <a:xfrm>
          <a:off x="1562100" y="705726300"/>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495300</xdr:colOff>
      <xdr:row>3111</xdr:row>
      <xdr:rowOff>171450</xdr:rowOff>
    </xdr:from>
    <xdr:to>
      <xdr:col>2</xdr:col>
      <xdr:colOff>752475</xdr:colOff>
      <xdr:row>3112</xdr:row>
      <xdr:rowOff>76200</xdr:rowOff>
    </xdr:to>
    <xdr:sp macro="" textlink="">
      <xdr:nvSpPr>
        <xdr:cNvPr id="8253" name="Text Box 61"/>
        <xdr:cNvSpPr txBox="1">
          <a:spLocks noChangeArrowheads="1"/>
        </xdr:cNvSpPr>
      </xdr:nvSpPr>
      <xdr:spPr bwMode="auto">
        <a:xfrm>
          <a:off x="1790700" y="70847902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333375</xdr:colOff>
      <xdr:row>3125</xdr:row>
      <xdr:rowOff>180975</xdr:rowOff>
    </xdr:from>
    <xdr:to>
      <xdr:col>2</xdr:col>
      <xdr:colOff>590550</xdr:colOff>
      <xdr:row>3126</xdr:row>
      <xdr:rowOff>95250</xdr:rowOff>
    </xdr:to>
    <xdr:sp macro="" textlink="">
      <xdr:nvSpPr>
        <xdr:cNvPr id="8254" name="Text Box 62"/>
        <xdr:cNvSpPr txBox="1">
          <a:spLocks noChangeArrowheads="1"/>
        </xdr:cNvSpPr>
      </xdr:nvSpPr>
      <xdr:spPr bwMode="auto">
        <a:xfrm>
          <a:off x="1628775" y="71171752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523875</xdr:colOff>
      <xdr:row>3154</xdr:row>
      <xdr:rowOff>190500</xdr:rowOff>
    </xdr:from>
    <xdr:to>
      <xdr:col>2</xdr:col>
      <xdr:colOff>781050</xdr:colOff>
      <xdr:row>3155</xdr:row>
      <xdr:rowOff>95250</xdr:rowOff>
    </xdr:to>
    <xdr:sp macro="" textlink="">
      <xdr:nvSpPr>
        <xdr:cNvPr id="8255" name="Text Box 63"/>
        <xdr:cNvSpPr txBox="1">
          <a:spLocks noChangeArrowheads="1"/>
        </xdr:cNvSpPr>
      </xdr:nvSpPr>
      <xdr:spPr bwMode="auto">
        <a:xfrm>
          <a:off x="1819275" y="7181469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180975</xdr:colOff>
      <xdr:row>3168</xdr:row>
      <xdr:rowOff>161925</xdr:rowOff>
    </xdr:from>
    <xdr:to>
      <xdr:col>2</xdr:col>
      <xdr:colOff>438150</xdr:colOff>
      <xdr:row>3169</xdr:row>
      <xdr:rowOff>66675</xdr:rowOff>
    </xdr:to>
    <xdr:sp macro="" textlink="">
      <xdr:nvSpPr>
        <xdr:cNvPr id="8256" name="Text Box 64"/>
        <xdr:cNvSpPr txBox="1">
          <a:spLocks noChangeArrowheads="1"/>
        </xdr:cNvSpPr>
      </xdr:nvSpPr>
      <xdr:spPr bwMode="auto">
        <a:xfrm>
          <a:off x="1476375" y="7214997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209550</xdr:colOff>
      <xdr:row>3183</xdr:row>
      <xdr:rowOff>133350</xdr:rowOff>
    </xdr:from>
    <xdr:to>
      <xdr:col>2</xdr:col>
      <xdr:colOff>466725</xdr:colOff>
      <xdr:row>3184</xdr:row>
      <xdr:rowOff>38100</xdr:rowOff>
    </xdr:to>
    <xdr:sp macro="" textlink="">
      <xdr:nvSpPr>
        <xdr:cNvPr id="8257" name="Text Box 65"/>
        <xdr:cNvSpPr txBox="1">
          <a:spLocks noChangeArrowheads="1"/>
        </xdr:cNvSpPr>
      </xdr:nvSpPr>
      <xdr:spPr bwMode="auto">
        <a:xfrm>
          <a:off x="1504950" y="72457627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552450</xdr:colOff>
      <xdr:row>3193</xdr:row>
      <xdr:rowOff>200025</xdr:rowOff>
    </xdr:from>
    <xdr:to>
      <xdr:col>2</xdr:col>
      <xdr:colOff>809625</xdr:colOff>
      <xdr:row>3194</xdr:row>
      <xdr:rowOff>104775</xdr:rowOff>
    </xdr:to>
    <xdr:sp macro="" textlink="">
      <xdr:nvSpPr>
        <xdr:cNvPr id="8258" name="Text Box 66"/>
        <xdr:cNvSpPr txBox="1">
          <a:spLocks noChangeArrowheads="1"/>
        </xdr:cNvSpPr>
      </xdr:nvSpPr>
      <xdr:spPr bwMode="auto">
        <a:xfrm>
          <a:off x="1847850" y="72691942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447675</xdr:colOff>
      <xdr:row>3207</xdr:row>
      <xdr:rowOff>190500</xdr:rowOff>
    </xdr:from>
    <xdr:to>
      <xdr:col>2</xdr:col>
      <xdr:colOff>704850</xdr:colOff>
      <xdr:row>3208</xdr:row>
      <xdr:rowOff>104775</xdr:rowOff>
    </xdr:to>
    <xdr:sp macro="" textlink="">
      <xdr:nvSpPr>
        <xdr:cNvPr id="8259" name="Text Box 67"/>
        <xdr:cNvSpPr txBox="1">
          <a:spLocks noChangeArrowheads="1"/>
        </xdr:cNvSpPr>
      </xdr:nvSpPr>
      <xdr:spPr bwMode="auto">
        <a:xfrm>
          <a:off x="1743075" y="72992932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609600</xdr:colOff>
      <xdr:row>3223</xdr:row>
      <xdr:rowOff>123825</xdr:rowOff>
    </xdr:from>
    <xdr:to>
      <xdr:col>2</xdr:col>
      <xdr:colOff>866775</xdr:colOff>
      <xdr:row>3224</xdr:row>
      <xdr:rowOff>28575</xdr:rowOff>
    </xdr:to>
    <xdr:sp macro="" textlink="">
      <xdr:nvSpPr>
        <xdr:cNvPr id="8260" name="Text Box 68"/>
        <xdr:cNvSpPr txBox="1">
          <a:spLocks noChangeArrowheads="1"/>
        </xdr:cNvSpPr>
      </xdr:nvSpPr>
      <xdr:spPr bwMode="auto">
        <a:xfrm>
          <a:off x="1905000" y="73383457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571500</xdr:colOff>
      <xdr:row>3237</xdr:row>
      <xdr:rowOff>400050</xdr:rowOff>
    </xdr:from>
    <xdr:to>
      <xdr:col>2</xdr:col>
      <xdr:colOff>828675</xdr:colOff>
      <xdr:row>3238</xdr:row>
      <xdr:rowOff>85725</xdr:rowOff>
    </xdr:to>
    <xdr:sp macro="" textlink="">
      <xdr:nvSpPr>
        <xdr:cNvPr id="8261" name="Text Box 69"/>
        <xdr:cNvSpPr txBox="1">
          <a:spLocks noChangeArrowheads="1"/>
        </xdr:cNvSpPr>
      </xdr:nvSpPr>
      <xdr:spPr bwMode="auto">
        <a:xfrm>
          <a:off x="1866900" y="73743502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571500</xdr:colOff>
      <xdr:row>3250</xdr:row>
      <xdr:rowOff>57150</xdr:rowOff>
    </xdr:from>
    <xdr:to>
      <xdr:col>2</xdr:col>
      <xdr:colOff>828675</xdr:colOff>
      <xdr:row>3250</xdr:row>
      <xdr:rowOff>209550</xdr:rowOff>
    </xdr:to>
    <xdr:sp macro="" textlink="">
      <xdr:nvSpPr>
        <xdr:cNvPr id="8263" name="Text Box 71"/>
        <xdr:cNvSpPr txBox="1">
          <a:spLocks noChangeArrowheads="1"/>
        </xdr:cNvSpPr>
      </xdr:nvSpPr>
      <xdr:spPr bwMode="auto">
        <a:xfrm>
          <a:off x="1866900" y="74370247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133350</xdr:colOff>
      <xdr:row>3265</xdr:row>
      <xdr:rowOff>161925</xdr:rowOff>
    </xdr:from>
    <xdr:to>
      <xdr:col>2</xdr:col>
      <xdr:colOff>390525</xdr:colOff>
      <xdr:row>3266</xdr:row>
      <xdr:rowOff>66675</xdr:rowOff>
    </xdr:to>
    <xdr:sp macro="" textlink="">
      <xdr:nvSpPr>
        <xdr:cNvPr id="8264" name="Text Box 72"/>
        <xdr:cNvSpPr txBox="1">
          <a:spLocks noChangeArrowheads="1"/>
        </xdr:cNvSpPr>
      </xdr:nvSpPr>
      <xdr:spPr bwMode="auto">
        <a:xfrm>
          <a:off x="1428750" y="74368342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552450</xdr:colOff>
      <xdr:row>3276</xdr:row>
      <xdr:rowOff>161925</xdr:rowOff>
    </xdr:from>
    <xdr:to>
      <xdr:col>2</xdr:col>
      <xdr:colOff>809625</xdr:colOff>
      <xdr:row>3277</xdr:row>
      <xdr:rowOff>28575</xdr:rowOff>
    </xdr:to>
    <xdr:sp macro="" textlink="">
      <xdr:nvSpPr>
        <xdr:cNvPr id="8265" name="Text Box 73"/>
        <xdr:cNvSpPr txBox="1">
          <a:spLocks noChangeArrowheads="1"/>
        </xdr:cNvSpPr>
      </xdr:nvSpPr>
      <xdr:spPr bwMode="auto">
        <a:xfrm>
          <a:off x="1847850" y="7463885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323850</xdr:colOff>
      <xdr:row>3289</xdr:row>
      <xdr:rowOff>171450</xdr:rowOff>
    </xdr:from>
    <xdr:to>
      <xdr:col>2</xdr:col>
      <xdr:colOff>581025</xdr:colOff>
      <xdr:row>3290</xdr:row>
      <xdr:rowOff>76200</xdr:rowOff>
    </xdr:to>
    <xdr:sp macro="" textlink="">
      <xdr:nvSpPr>
        <xdr:cNvPr id="8266" name="Text Box 74"/>
        <xdr:cNvSpPr txBox="1">
          <a:spLocks noChangeArrowheads="1"/>
        </xdr:cNvSpPr>
      </xdr:nvSpPr>
      <xdr:spPr bwMode="auto">
        <a:xfrm>
          <a:off x="1619250" y="7495032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523875</xdr:colOff>
      <xdr:row>3304</xdr:row>
      <xdr:rowOff>171450</xdr:rowOff>
    </xdr:from>
    <xdr:to>
      <xdr:col>2</xdr:col>
      <xdr:colOff>781050</xdr:colOff>
      <xdr:row>3305</xdr:row>
      <xdr:rowOff>66675</xdr:rowOff>
    </xdr:to>
    <xdr:sp macro="" textlink="">
      <xdr:nvSpPr>
        <xdr:cNvPr id="8267" name="Text Box 75"/>
        <xdr:cNvSpPr txBox="1">
          <a:spLocks noChangeArrowheads="1"/>
        </xdr:cNvSpPr>
      </xdr:nvSpPr>
      <xdr:spPr bwMode="auto">
        <a:xfrm>
          <a:off x="1819275" y="7526559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209550</xdr:colOff>
      <xdr:row>3316</xdr:row>
      <xdr:rowOff>133350</xdr:rowOff>
    </xdr:from>
    <xdr:to>
      <xdr:col>2</xdr:col>
      <xdr:colOff>466725</xdr:colOff>
      <xdr:row>3317</xdr:row>
      <xdr:rowOff>57150</xdr:rowOff>
    </xdr:to>
    <xdr:sp macro="" textlink="">
      <xdr:nvSpPr>
        <xdr:cNvPr id="8268" name="Text Box 76"/>
        <xdr:cNvSpPr txBox="1">
          <a:spLocks noChangeArrowheads="1"/>
        </xdr:cNvSpPr>
      </xdr:nvSpPr>
      <xdr:spPr bwMode="auto">
        <a:xfrm>
          <a:off x="1504950" y="7559802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161925</xdr:colOff>
      <xdr:row>3329</xdr:row>
      <xdr:rowOff>152400</xdr:rowOff>
    </xdr:from>
    <xdr:to>
      <xdr:col>2</xdr:col>
      <xdr:colOff>419100</xdr:colOff>
      <xdr:row>3330</xdr:row>
      <xdr:rowOff>76200</xdr:rowOff>
    </xdr:to>
    <xdr:sp macro="" textlink="">
      <xdr:nvSpPr>
        <xdr:cNvPr id="8269" name="Text Box 77"/>
        <xdr:cNvSpPr txBox="1">
          <a:spLocks noChangeArrowheads="1"/>
        </xdr:cNvSpPr>
      </xdr:nvSpPr>
      <xdr:spPr bwMode="auto">
        <a:xfrm>
          <a:off x="1457325" y="75923775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180975</xdr:colOff>
      <xdr:row>3344</xdr:row>
      <xdr:rowOff>133350</xdr:rowOff>
    </xdr:from>
    <xdr:to>
      <xdr:col>2</xdr:col>
      <xdr:colOff>438150</xdr:colOff>
      <xdr:row>3345</xdr:row>
      <xdr:rowOff>47625</xdr:rowOff>
    </xdr:to>
    <xdr:sp macro="" textlink="">
      <xdr:nvSpPr>
        <xdr:cNvPr id="8270" name="Text Box 78"/>
        <xdr:cNvSpPr txBox="1">
          <a:spLocks noChangeArrowheads="1"/>
        </xdr:cNvSpPr>
      </xdr:nvSpPr>
      <xdr:spPr bwMode="auto">
        <a:xfrm>
          <a:off x="1476375" y="76250482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161925</xdr:colOff>
      <xdr:row>3355</xdr:row>
      <xdr:rowOff>152400</xdr:rowOff>
    </xdr:from>
    <xdr:to>
      <xdr:col>2</xdr:col>
      <xdr:colOff>419100</xdr:colOff>
      <xdr:row>3356</xdr:row>
      <xdr:rowOff>57150</xdr:rowOff>
    </xdr:to>
    <xdr:sp macro="" textlink="">
      <xdr:nvSpPr>
        <xdr:cNvPr id="8271" name="Text Box 79"/>
        <xdr:cNvSpPr txBox="1">
          <a:spLocks noChangeArrowheads="1"/>
        </xdr:cNvSpPr>
      </xdr:nvSpPr>
      <xdr:spPr bwMode="auto">
        <a:xfrm>
          <a:off x="1457325" y="7656957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514350</xdr:colOff>
      <xdr:row>3673</xdr:row>
      <xdr:rowOff>190500</xdr:rowOff>
    </xdr:from>
    <xdr:to>
      <xdr:col>2</xdr:col>
      <xdr:colOff>771525</xdr:colOff>
      <xdr:row>3674</xdr:row>
      <xdr:rowOff>57150</xdr:rowOff>
    </xdr:to>
    <xdr:sp macro="" textlink="">
      <xdr:nvSpPr>
        <xdr:cNvPr id="8272" name="Text Box 80"/>
        <xdr:cNvSpPr txBox="1">
          <a:spLocks noChangeArrowheads="1"/>
        </xdr:cNvSpPr>
      </xdr:nvSpPr>
      <xdr:spPr bwMode="auto">
        <a:xfrm>
          <a:off x="1809750" y="835075800"/>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581025</xdr:colOff>
      <xdr:row>2896</xdr:row>
      <xdr:rowOff>133350</xdr:rowOff>
    </xdr:from>
    <xdr:to>
      <xdr:col>2</xdr:col>
      <xdr:colOff>838200</xdr:colOff>
      <xdr:row>2897</xdr:row>
      <xdr:rowOff>76200</xdr:rowOff>
    </xdr:to>
    <xdr:sp macro="" textlink="">
      <xdr:nvSpPr>
        <xdr:cNvPr id="8277" name="Text Box 85"/>
        <xdr:cNvSpPr txBox="1">
          <a:spLocks noChangeArrowheads="1"/>
        </xdr:cNvSpPr>
      </xdr:nvSpPr>
      <xdr:spPr bwMode="auto">
        <a:xfrm>
          <a:off x="1876425" y="659206200"/>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276225</xdr:colOff>
      <xdr:row>2911</xdr:row>
      <xdr:rowOff>161925</xdr:rowOff>
    </xdr:from>
    <xdr:to>
      <xdr:col>2</xdr:col>
      <xdr:colOff>533400</xdr:colOff>
      <xdr:row>2912</xdr:row>
      <xdr:rowOff>190500</xdr:rowOff>
    </xdr:to>
    <xdr:sp macro="" textlink="">
      <xdr:nvSpPr>
        <xdr:cNvPr id="8278" name="Text Box 86"/>
        <xdr:cNvSpPr txBox="1">
          <a:spLocks noChangeArrowheads="1"/>
        </xdr:cNvSpPr>
      </xdr:nvSpPr>
      <xdr:spPr bwMode="auto">
        <a:xfrm>
          <a:off x="1571625" y="662406600"/>
          <a:ext cx="257175" cy="2476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276225</xdr:colOff>
      <xdr:row>2939</xdr:row>
      <xdr:rowOff>161925</xdr:rowOff>
    </xdr:from>
    <xdr:to>
      <xdr:col>2</xdr:col>
      <xdr:colOff>533400</xdr:colOff>
      <xdr:row>2940</xdr:row>
      <xdr:rowOff>114300</xdr:rowOff>
    </xdr:to>
    <xdr:sp macro="" textlink="">
      <xdr:nvSpPr>
        <xdr:cNvPr id="8280" name="Text Box 88"/>
        <xdr:cNvSpPr txBox="1">
          <a:spLocks noChangeArrowheads="1"/>
        </xdr:cNvSpPr>
      </xdr:nvSpPr>
      <xdr:spPr bwMode="auto">
        <a:xfrm>
          <a:off x="1571625" y="668883600"/>
          <a:ext cx="257175"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2944</xdr:row>
      <xdr:rowOff>0</xdr:rowOff>
    </xdr:from>
    <xdr:to>
      <xdr:col>2</xdr:col>
      <xdr:colOff>342900</xdr:colOff>
      <xdr:row>2944</xdr:row>
      <xdr:rowOff>66675</xdr:rowOff>
    </xdr:to>
    <xdr:sp macro="" textlink="">
      <xdr:nvSpPr>
        <xdr:cNvPr id="8281" name="Text Box 89"/>
        <xdr:cNvSpPr txBox="1">
          <a:spLocks noChangeArrowheads="1"/>
        </xdr:cNvSpPr>
      </xdr:nvSpPr>
      <xdr:spPr bwMode="auto">
        <a:xfrm>
          <a:off x="1495425" y="5875401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333375</xdr:colOff>
      <xdr:row>3028</xdr:row>
      <xdr:rowOff>200025</xdr:rowOff>
    </xdr:from>
    <xdr:to>
      <xdr:col>2</xdr:col>
      <xdr:colOff>590550</xdr:colOff>
      <xdr:row>3029</xdr:row>
      <xdr:rowOff>104775</xdr:rowOff>
    </xdr:to>
    <xdr:sp macro="" textlink="">
      <xdr:nvSpPr>
        <xdr:cNvPr id="8285" name="Text Box 93"/>
        <xdr:cNvSpPr txBox="1">
          <a:spLocks noChangeArrowheads="1"/>
        </xdr:cNvSpPr>
      </xdr:nvSpPr>
      <xdr:spPr bwMode="auto">
        <a:xfrm>
          <a:off x="1628775" y="69021007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447675</xdr:colOff>
      <xdr:row>3043</xdr:row>
      <xdr:rowOff>209550</xdr:rowOff>
    </xdr:from>
    <xdr:to>
      <xdr:col>2</xdr:col>
      <xdr:colOff>704850</xdr:colOff>
      <xdr:row>3044</xdr:row>
      <xdr:rowOff>123825</xdr:rowOff>
    </xdr:to>
    <xdr:sp macro="" textlink="">
      <xdr:nvSpPr>
        <xdr:cNvPr id="8286" name="Text Box 94"/>
        <xdr:cNvSpPr txBox="1">
          <a:spLocks noChangeArrowheads="1"/>
        </xdr:cNvSpPr>
      </xdr:nvSpPr>
      <xdr:spPr bwMode="auto">
        <a:xfrm>
          <a:off x="1743075" y="69341047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371475</xdr:colOff>
      <xdr:row>3057</xdr:row>
      <xdr:rowOff>190500</xdr:rowOff>
    </xdr:from>
    <xdr:to>
      <xdr:col>2</xdr:col>
      <xdr:colOff>628650</xdr:colOff>
      <xdr:row>3058</xdr:row>
      <xdr:rowOff>66675</xdr:rowOff>
    </xdr:to>
    <xdr:sp macro="" textlink="">
      <xdr:nvSpPr>
        <xdr:cNvPr id="8287" name="Text Box 95"/>
        <xdr:cNvSpPr txBox="1">
          <a:spLocks noChangeArrowheads="1"/>
        </xdr:cNvSpPr>
      </xdr:nvSpPr>
      <xdr:spPr bwMode="auto">
        <a:xfrm>
          <a:off x="1666875" y="696325125"/>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295275</xdr:colOff>
      <xdr:row>3730</xdr:row>
      <xdr:rowOff>152400</xdr:rowOff>
    </xdr:from>
    <xdr:to>
      <xdr:col>2</xdr:col>
      <xdr:colOff>552450</xdr:colOff>
      <xdr:row>3731</xdr:row>
      <xdr:rowOff>28575</xdr:rowOff>
    </xdr:to>
    <xdr:sp macro="" textlink="">
      <xdr:nvSpPr>
        <xdr:cNvPr id="8288" name="Text Box 96"/>
        <xdr:cNvSpPr txBox="1">
          <a:spLocks noChangeArrowheads="1"/>
        </xdr:cNvSpPr>
      </xdr:nvSpPr>
      <xdr:spPr bwMode="auto">
        <a:xfrm>
          <a:off x="1590675" y="846858225"/>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485775</xdr:colOff>
      <xdr:row>3778</xdr:row>
      <xdr:rowOff>95250</xdr:rowOff>
    </xdr:from>
    <xdr:to>
      <xdr:col>2</xdr:col>
      <xdr:colOff>742950</xdr:colOff>
      <xdr:row>3779</xdr:row>
      <xdr:rowOff>9525</xdr:rowOff>
    </xdr:to>
    <xdr:sp macro="" textlink="">
      <xdr:nvSpPr>
        <xdr:cNvPr id="8289" name="Text Box 97"/>
        <xdr:cNvSpPr txBox="1">
          <a:spLocks noChangeArrowheads="1"/>
        </xdr:cNvSpPr>
      </xdr:nvSpPr>
      <xdr:spPr bwMode="auto">
        <a:xfrm>
          <a:off x="1781175" y="83900010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3756</xdr:row>
      <xdr:rowOff>142875</xdr:rowOff>
    </xdr:from>
    <xdr:to>
      <xdr:col>2</xdr:col>
      <xdr:colOff>342900</xdr:colOff>
      <xdr:row>3757</xdr:row>
      <xdr:rowOff>57150</xdr:rowOff>
    </xdr:to>
    <xdr:sp macro="" textlink="">
      <xdr:nvSpPr>
        <xdr:cNvPr id="8290" name="Text Box 98"/>
        <xdr:cNvSpPr txBox="1">
          <a:spLocks noChangeArrowheads="1"/>
        </xdr:cNvSpPr>
      </xdr:nvSpPr>
      <xdr:spPr bwMode="auto">
        <a:xfrm>
          <a:off x="1495425" y="615305475"/>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3772</xdr:row>
      <xdr:rowOff>142875</xdr:rowOff>
    </xdr:from>
    <xdr:to>
      <xdr:col>2</xdr:col>
      <xdr:colOff>342900</xdr:colOff>
      <xdr:row>3773</xdr:row>
      <xdr:rowOff>57150</xdr:rowOff>
    </xdr:to>
    <xdr:sp macro="" textlink="">
      <xdr:nvSpPr>
        <xdr:cNvPr id="8291" name="Text Box 99"/>
        <xdr:cNvSpPr txBox="1">
          <a:spLocks noChangeArrowheads="1"/>
        </xdr:cNvSpPr>
      </xdr:nvSpPr>
      <xdr:spPr bwMode="auto">
        <a:xfrm>
          <a:off x="1495425" y="618658275"/>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600075</xdr:colOff>
      <xdr:row>3428</xdr:row>
      <xdr:rowOff>209550</xdr:rowOff>
    </xdr:from>
    <xdr:to>
      <xdr:col>2</xdr:col>
      <xdr:colOff>857250</xdr:colOff>
      <xdr:row>3429</xdr:row>
      <xdr:rowOff>85725</xdr:rowOff>
    </xdr:to>
    <xdr:sp macro="" textlink="">
      <xdr:nvSpPr>
        <xdr:cNvPr id="8293" name="Text Box 101"/>
        <xdr:cNvSpPr txBox="1">
          <a:spLocks noChangeArrowheads="1"/>
        </xdr:cNvSpPr>
      </xdr:nvSpPr>
      <xdr:spPr bwMode="auto">
        <a:xfrm>
          <a:off x="1895475" y="774534900"/>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485775</xdr:colOff>
      <xdr:row>4115</xdr:row>
      <xdr:rowOff>161925</xdr:rowOff>
    </xdr:from>
    <xdr:to>
      <xdr:col>2</xdr:col>
      <xdr:colOff>742950</xdr:colOff>
      <xdr:row>4116</xdr:row>
      <xdr:rowOff>104775</xdr:rowOff>
    </xdr:to>
    <xdr:sp macro="" textlink="">
      <xdr:nvSpPr>
        <xdr:cNvPr id="8298" name="Text Box 106"/>
        <xdr:cNvSpPr txBox="1">
          <a:spLocks noChangeArrowheads="1"/>
        </xdr:cNvSpPr>
      </xdr:nvSpPr>
      <xdr:spPr bwMode="auto">
        <a:xfrm>
          <a:off x="1781175" y="936755175"/>
          <a:ext cx="257175" cy="1905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628650</xdr:colOff>
      <xdr:row>4126</xdr:row>
      <xdr:rowOff>66675</xdr:rowOff>
    </xdr:from>
    <xdr:to>
      <xdr:col>2</xdr:col>
      <xdr:colOff>885825</xdr:colOff>
      <xdr:row>4126</xdr:row>
      <xdr:rowOff>238125</xdr:rowOff>
    </xdr:to>
    <xdr:sp macro="" textlink="">
      <xdr:nvSpPr>
        <xdr:cNvPr id="8299" name="Text Box 107"/>
        <xdr:cNvSpPr txBox="1">
          <a:spLocks noChangeArrowheads="1"/>
        </xdr:cNvSpPr>
      </xdr:nvSpPr>
      <xdr:spPr bwMode="auto">
        <a:xfrm>
          <a:off x="1924050" y="939907950"/>
          <a:ext cx="257175"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4136</xdr:row>
      <xdr:rowOff>123825</xdr:rowOff>
    </xdr:from>
    <xdr:to>
      <xdr:col>2</xdr:col>
      <xdr:colOff>342900</xdr:colOff>
      <xdr:row>4137</xdr:row>
      <xdr:rowOff>57150</xdr:rowOff>
    </xdr:to>
    <xdr:sp macro="" textlink="">
      <xdr:nvSpPr>
        <xdr:cNvPr id="8300" name="Text Box 108"/>
        <xdr:cNvSpPr txBox="1">
          <a:spLocks noChangeArrowheads="1"/>
        </xdr:cNvSpPr>
      </xdr:nvSpPr>
      <xdr:spPr bwMode="auto">
        <a:xfrm>
          <a:off x="1495425" y="64655700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4205</xdr:row>
      <xdr:rowOff>133350</xdr:rowOff>
    </xdr:from>
    <xdr:to>
      <xdr:col>2</xdr:col>
      <xdr:colOff>342900</xdr:colOff>
      <xdr:row>4206</xdr:row>
      <xdr:rowOff>57150</xdr:rowOff>
    </xdr:to>
    <xdr:sp macro="" textlink="">
      <xdr:nvSpPr>
        <xdr:cNvPr id="8301" name="Text Box 109"/>
        <xdr:cNvSpPr txBox="1">
          <a:spLocks noChangeArrowheads="1"/>
        </xdr:cNvSpPr>
      </xdr:nvSpPr>
      <xdr:spPr bwMode="auto">
        <a:xfrm>
          <a:off x="1495425" y="64983360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4193</xdr:row>
      <xdr:rowOff>161925</xdr:rowOff>
    </xdr:from>
    <xdr:to>
      <xdr:col>2</xdr:col>
      <xdr:colOff>342900</xdr:colOff>
      <xdr:row>4194</xdr:row>
      <xdr:rowOff>57150</xdr:rowOff>
    </xdr:to>
    <xdr:sp macro="" textlink="">
      <xdr:nvSpPr>
        <xdr:cNvPr id="8302" name="Text Box 110"/>
        <xdr:cNvSpPr txBox="1">
          <a:spLocks noChangeArrowheads="1"/>
        </xdr:cNvSpPr>
      </xdr:nvSpPr>
      <xdr:spPr bwMode="auto">
        <a:xfrm>
          <a:off x="1495425" y="65252917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495300</xdr:colOff>
      <xdr:row>4216</xdr:row>
      <xdr:rowOff>133350</xdr:rowOff>
    </xdr:from>
    <xdr:to>
      <xdr:col>2</xdr:col>
      <xdr:colOff>752475</xdr:colOff>
      <xdr:row>4217</xdr:row>
      <xdr:rowOff>47625</xdr:rowOff>
    </xdr:to>
    <xdr:sp macro="" textlink="">
      <xdr:nvSpPr>
        <xdr:cNvPr id="8303" name="Text Box 111"/>
        <xdr:cNvSpPr txBox="1">
          <a:spLocks noChangeArrowheads="1"/>
        </xdr:cNvSpPr>
      </xdr:nvSpPr>
      <xdr:spPr bwMode="auto">
        <a:xfrm>
          <a:off x="1790700" y="96123442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485775</xdr:colOff>
      <xdr:row>4230</xdr:row>
      <xdr:rowOff>152400</xdr:rowOff>
    </xdr:from>
    <xdr:to>
      <xdr:col>2</xdr:col>
      <xdr:colOff>742950</xdr:colOff>
      <xdr:row>4231</xdr:row>
      <xdr:rowOff>66675</xdr:rowOff>
    </xdr:to>
    <xdr:sp macro="" textlink="">
      <xdr:nvSpPr>
        <xdr:cNvPr id="8304" name="Text Box 112"/>
        <xdr:cNvSpPr txBox="1">
          <a:spLocks noChangeArrowheads="1"/>
        </xdr:cNvSpPr>
      </xdr:nvSpPr>
      <xdr:spPr bwMode="auto">
        <a:xfrm>
          <a:off x="1781175" y="96445387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590550</xdr:colOff>
      <xdr:row>4245</xdr:row>
      <xdr:rowOff>180973</xdr:rowOff>
    </xdr:from>
    <xdr:to>
      <xdr:col>2</xdr:col>
      <xdr:colOff>847725</xdr:colOff>
      <xdr:row>4246</xdr:row>
      <xdr:rowOff>123824</xdr:rowOff>
    </xdr:to>
    <xdr:sp macro="" textlink="">
      <xdr:nvSpPr>
        <xdr:cNvPr id="8305" name="Text Box 113"/>
        <xdr:cNvSpPr txBox="1">
          <a:spLocks noChangeArrowheads="1"/>
        </xdr:cNvSpPr>
      </xdr:nvSpPr>
      <xdr:spPr bwMode="auto">
        <a:xfrm flipV="1">
          <a:off x="1885950" y="967920973"/>
          <a:ext cx="257175" cy="19050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323850</xdr:colOff>
      <xdr:row>4261</xdr:row>
      <xdr:rowOff>104775</xdr:rowOff>
    </xdr:from>
    <xdr:to>
      <xdr:col>2</xdr:col>
      <xdr:colOff>581025</xdr:colOff>
      <xdr:row>4263</xdr:row>
      <xdr:rowOff>0</xdr:rowOff>
    </xdr:to>
    <xdr:sp macro="" textlink="">
      <xdr:nvSpPr>
        <xdr:cNvPr id="8309" name="Text Box 117"/>
        <xdr:cNvSpPr txBox="1">
          <a:spLocks noChangeArrowheads="1"/>
        </xdr:cNvSpPr>
      </xdr:nvSpPr>
      <xdr:spPr bwMode="auto">
        <a:xfrm>
          <a:off x="1619250" y="971492850"/>
          <a:ext cx="257175" cy="3619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495300</xdr:colOff>
      <xdr:row>3526</xdr:row>
      <xdr:rowOff>190500</xdr:rowOff>
    </xdr:from>
    <xdr:to>
      <xdr:col>2</xdr:col>
      <xdr:colOff>752475</xdr:colOff>
      <xdr:row>3527</xdr:row>
      <xdr:rowOff>66675</xdr:rowOff>
    </xdr:to>
    <xdr:sp macro="" textlink="">
      <xdr:nvSpPr>
        <xdr:cNvPr id="8313" name="Text Box 121"/>
        <xdr:cNvSpPr txBox="1">
          <a:spLocks noChangeArrowheads="1"/>
        </xdr:cNvSpPr>
      </xdr:nvSpPr>
      <xdr:spPr bwMode="auto">
        <a:xfrm>
          <a:off x="1790700" y="803509950"/>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152400</xdr:colOff>
      <xdr:row>3540</xdr:row>
      <xdr:rowOff>152400</xdr:rowOff>
    </xdr:from>
    <xdr:to>
      <xdr:col>2</xdr:col>
      <xdr:colOff>409575</xdr:colOff>
      <xdr:row>3541</xdr:row>
      <xdr:rowOff>85725</xdr:rowOff>
    </xdr:to>
    <xdr:sp macro="" textlink="">
      <xdr:nvSpPr>
        <xdr:cNvPr id="8314" name="Text Box 122"/>
        <xdr:cNvSpPr txBox="1">
          <a:spLocks noChangeArrowheads="1"/>
        </xdr:cNvSpPr>
      </xdr:nvSpPr>
      <xdr:spPr bwMode="auto">
        <a:xfrm>
          <a:off x="1447800" y="806815125"/>
          <a:ext cx="257175"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542925</xdr:colOff>
      <xdr:row>3970</xdr:row>
      <xdr:rowOff>95250</xdr:rowOff>
    </xdr:from>
    <xdr:to>
      <xdr:col>2</xdr:col>
      <xdr:colOff>800100</xdr:colOff>
      <xdr:row>3971</xdr:row>
      <xdr:rowOff>57150</xdr:rowOff>
    </xdr:to>
    <xdr:sp macro="" textlink="">
      <xdr:nvSpPr>
        <xdr:cNvPr id="8323" name="Text Box 131"/>
        <xdr:cNvSpPr txBox="1">
          <a:spLocks noChangeArrowheads="1"/>
        </xdr:cNvSpPr>
      </xdr:nvSpPr>
      <xdr:spPr bwMode="auto">
        <a:xfrm>
          <a:off x="1838325" y="882777000"/>
          <a:ext cx="257175"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561975</xdr:colOff>
      <xdr:row>3986</xdr:row>
      <xdr:rowOff>95250</xdr:rowOff>
    </xdr:from>
    <xdr:to>
      <xdr:col>2</xdr:col>
      <xdr:colOff>819150</xdr:colOff>
      <xdr:row>3987</xdr:row>
      <xdr:rowOff>66675</xdr:rowOff>
    </xdr:to>
    <xdr:sp macro="" textlink="">
      <xdr:nvSpPr>
        <xdr:cNvPr id="8324" name="Text Box 132"/>
        <xdr:cNvSpPr txBox="1">
          <a:spLocks noChangeArrowheads="1"/>
        </xdr:cNvSpPr>
      </xdr:nvSpPr>
      <xdr:spPr bwMode="auto">
        <a:xfrm>
          <a:off x="1857375" y="886244100"/>
          <a:ext cx="257175" cy="1905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1578</xdr:row>
      <xdr:rowOff>0</xdr:rowOff>
    </xdr:from>
    <xdr:to>
      <xdr:col>2</xdr:col>
      <xdr:colOff>361950</xdr:colOff>
      <xdr:row>1578</xdr:row>
      <xdr:rowOff>0</xdr:rowOff>
    </xdr:to>
    <xdr:sp macro="" textlink="">
      <xdr:nvSpPr>
        <xdr:cNvPr id="8327" name="Text Box 135"/>
        <xdr:cNvSpPr txBox="1">
          <a:spLocks noChangeArrowheads="1"/>
        </xdr:cNvSpPr>
      </xdr:nvSpPr>
      <xdr:spPr bwMode="auto">
        <a:xfrm>
          <a:off x="151447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1578</xdr:row>
      <xdr:rowOff>0</xdr:rowOff>
    </xdr:from>
    <xdr:to>
      <xdr:col>2</xdr:col>
      <xdr:colOff>342900</xdr:colOff>
      <xdr:row>1578</xdr:row>
      <xdr:rowOff>0</xdr:rowOff>
    </xdr:to>
    <xdr:sp macro="" textlink="">
      <xdr:nvSpPr>
        <xdr:cNvPr id="8328" name="Text Box 136"/>
        <xdr:cNvSpPr txBox="1">
          <a:spLocks noChangeArrowheads="1"/>
        </xdr:cNvSpPr>
      </xdr:nvSpPr>
      <xdr:spPr bwMode="auto">
        <a:xfrm>
          <a:off x="149542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1578</xdr:row>
      <xdr:rowOff>0</xdr:rowOff>
    </xdr:from>
    <xdr:to>
      <xdr:col>2</xdr:col>
      <xdr:colOff>342900</xdr:colOff>
      <xdr:row>1578</xdr:row>
      <xdr:rowOff>0</xdr:rowOff>
    </xdr:to>
    <xdr:sp macro="" textlink="">
      <xdr:nvSpPr>
        <xdr:cNvPr id="8331" name="Text Box 139"/>
        <xdr:cNvSpPr txBox="1">
          <a:spLocks noChangeArrowheads="1"/>
        </xdr:cNvSpPr>
      </xdr:nvSpPr>
      <xdr:spPr bwMode="auto">
        <a:xfrm>
          <a:off x="149542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457200</xdr:colOff>
      <xdr:row>2327</xdr:row>
      <xdr:rowOff>171450</xdr:rowOff>
    </xdr:from>
    <xdr:to>
      <xdr:col>2</xdr:col>
      <xdr:colOff>714375</xdr:colOff>
      <xdr:row>2328</xdr:row>
      <xdr:rowOff>76200</xdr:rowOff>
    </xdr:to>
    <xdr:sp macro="" textlink="">
      <xdr:nvSpPr>
        <xdr:cNvPr id="8334" name="Text Box 142"/>
        <xdr:cNvSpPr txBox="1">
          <a:spLocks noChangeArrowheads="1"/>
        </xdr:cNvSpPr>
      </xdr:nvSpPr>
      <xdr:spPr bwMode="auto">
        <a:xfrm>
          <a:off x="1771650" y="53196172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95250</xdr:colOff>
      <xdr:row>1098</xdr:row>
      <xdr:rowOff>171450</xdr:rowOff>
    </xdr:from>
    <xdr:to>
      <xdr:col>2</xdr:col>
      <xdr:colOff>361950</xdr:colOff>
      <xdr:row>1099</xdr:row>
      <xdr:rowOff>104775</xdr:rowOff>
    </xdr:to>
    <xdr:sp macro="" textlink="">
      <xdr:nvSpPr>
        <xdr:cNvPr id="8339" name="Text Box 147"/>
        <xdr:cNvSpPr txBox="1">
          <a:spLocks noChangeArrowheads="1"/>
        </xdr:cNvSpPr>
      </xdr:nvSpPr>
      <xdr:spPr bwMode="auto">
        <a:xfrm>
          <a:off x="1504950" y="213731475"/>
          <a:ext cx="266700"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95250</xdr:colOff>
      <xdr:row>1127</xdr:row>
      <xdr:rowOff>171450</xdr:rowOff>
    </xdr:from>
    <xdr:to>
      <xdr:col>2</xdr:col>
      <xdr:colOff>361950</xdr:colOff>
      <xdr:row>1128</xdr:row>
      <xdr:rowOff>95250</xdr:rowOff>
    </xdr:to>
    <xdr:sp macro="" textlink="">
      <xdr:nvSpPr>
        <xdr:cNvPr id="8340" name="Text Box 148"/>
        <xdr:cNvSpPr txBox="1">
          <a:spLocks noChangeArrowheads="1"/>
        </xdr:cNvSpPr>
      </xdr:nvSpPr>
      <xdr:spPr bwMode="auto">
        <a:xfrm>
          <a:off x="1504950" y="218570175"/>
          <a:ext cx="266700"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1578</xdr:row>
      <xdr:rowOff>0</xdr:rowOff>
    </xdr:from>
    <xdr:to>
      <xdr:col>2</xdr:col>
      <xdr:colOff>342900</xdr:colOff>
      <xdr:row>1578</xdr:row>
      <xdr:rowOff>0</xdr:rowOff>
    </xdr:to>
    <xdr:sp macro="" textlink="">
      <xdr:nvSpPr>
        <xdr:cNvPr id="8342" name="Text Box 150"/>
        <xdr:cNvSpPr txBox="1">
          <a:spLocks noChangeArrowheads="1"/>
        </xdr:cNvSpPr>
      </xdr:nvSpPr>
      <xdr:spPr bwMode="auto">
        <a:xfrm>
          <a:off x="149542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133350</xdr:colOff>
      <xdr:row>1578</xdr:row>
      <xdr:rowOff>0</xdr:rowOff>
    </xdr:from>
    <xdr:to>
      <xdr:col>2</xdr:col>
      <xdr:colOff>390525</xdr:colOff>
      <xdr:row>1578</xdr:row>
      <xdr:rowOff>0</xdr:rowOff>
    </xdr:to>
    <xdr:sp macro="" textlink="">
      <xdr:nvSpPr>
        <xdr:cNvPr id="8343" name="Text Box 151"/>
        <xdr:cNvSpPr txBox="1">
          <a:spLocks noChangeArrowheads="1"/>
        </xdr:cNvSpPr>
      </xdr:nvSpPr>
      <xdr:spPr bwMode="auto">
        <a:xfrm>
          <a:off x="1543050"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1578</xdr:row>
      <xdr:rowOff>0</xdr:rowOff>
    </xdr:from>
    <xdr:to>
      <xdr:col>2</xdr:col>
      <xdr:colOff>361950</xdr:colOff>
      <xdr:row>1578</xdr:row>
      <xdr:rowOff>0</xdr:rowOff>
    </xdr:to>
    <xdr:sp macro="" textlink="">
      <xdr:nvSpPr>
        <xdr:cNvPr id="8344" name="Text Box 152"/>
        <xdr:cNvSpPr txBox="1">
          <a:spLocks noChangeArrowheads="1"/>
        </xdr:cNvSpPr>
      </xdr:nvSpPr>
      <xdr:spPr bwMode="auto">
        <a:xfrm>
          <a:off x="151447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1578</xdr:row>
      <xdr:rowOff>0</xdr:rowOff>
    </xdr:from>
    <xdr:to>
      <xdr:col>2</xdr:col>
      <xdr:colOff>342900</xdr:colOff>
      <xdr:row>1578</xdr:row>
      <xdr:rowOff>0</xdr:rowOff>
    </xdr:to>
    <xdr:sp macro="" textlink="">
      <xdr:nvSpPr>
        <xdr:cNvPr id="8345" name="Text Box 153"/>
        <xdr:cNvSpPr txBox="1">
          <a:spLocks noChangeArrowheads="1"/>
        </xdr:cNvSpPr>
      </xdr:nvSpPr>
      <xdr:spPr bwMode="auto">
        <a:xfrm>
          <a:off x="149542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1578</xdr:row>
      <xdr:rowOff>0</xdr:rowOff>
    </xdr:from>
    <xdr:to>
      <xdr:col>2</xdr:col>
      <xdr:colOff>361950</xdr:colOff>
      <xdr:row>1578</xdr:row>
      <xdr:rowOff>0</xdr:rowOff>
    </xdr:to>
    <xdr:sp macro="" textlink="">
      <xdr:nvSpPr>
        <xdr:cNvPr id="8346" name="Text Box 154"/>
        <xdr:cNvSpPr txBox="1">
          <a:spLocks noChangeArrowheads="1"/>
        </xdr:cNvSpPr>
      </xdr:nvSpPr>
      <xdr:spPr bwMode="auto">
        <a:xfrm>
          <a:off x="1514475" y="2645854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495300</xdr:colOff>
      <xdr:row>2821</xdr:row>
      <xdr:rowOff>209550</xdr:rowOff>
    </xdr:from>
    <xdr:to>
      <xdr:col>2</xdr:col>
      <xdr:colOff>752475</xdr:colOff>
      <xdr:row>2822</xdr:row>
      <xdr:rowOff>104775</xdr:rowOff>
    </xdr:to>
    <xdr:sp macro="" textlink="">
      <xdr:nvSpPr>
        <xdr:cNvPr id="8348" name="Text Box 156"/>
        <xdr:cNvSpPr txBox="1">
          <a:spLocks noChangeArrowheads="1"/>
        </xdr:cNvSpPr>
      </xdr:nvSpPr>
      <xdr:spPr bwMode="auto">
        <a:xfrm>
          <a:off x="1790700" y="642385050"/>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3122</xdr:row>
      <xdr:rowOff>0</xdr:rowOff>
    </xdr:from>
    <xdr:to>
      <xdr:col>2</xdr:col>
      <xdr:colOff>342900</xdr:colOff>
      <xdr:row>3122</xdr:row>
      <xdr:rowOff>0</xdr:rowOff>
    </xdr:to>
    <xdr:sp macro="" textlink="">
      <xdr:nvSpPr>
        <xdr:cNvPr id="8349" name="Text Box 157"/>
        <xdr:cNvSpPr txBox="1">
          <a:spLocks noChangeArrowheads="1"/>
        </xdr:cNvSpPr>
      </xdr:nvSpPr>
      <xdr:spPr bwMode="auto">
        <a:xfrm>
          <a:off x="1495425" y="491251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542925</xdr:colOff>
      <xdr:row>3141</xdr:row>
      <xdr:rowOff>142875</xdr:rowOff>
    </xdr:from>
    <xdr:to>
      <xdr:col>2</xdr:col>
      <xdr:colOff>800100</xdr:colOff>
      <xdr:row>3142</xdr:row>
      <xdr:rowOff>47625</xdr:rowOff>
    </xdr:to>
    <xdr:sp macro="" textlink="">
      <xdr:nvSpPr>
        <xdr:cNvPr id="8350" name="Text Box 158"/>
        <xdr:cNvSpPr txBox="1">
          <a:spLocks noChangeArrowheads="1"/>
        </xdr:cNvSpPr>
      </xdr:nvSpPr>
      <xdr:spPr bwMode="auto">
        <a:xfrm>
          <a:off x="1838325" y="71484172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533400</xdr:colOff>
      <xdr:row>2954</xdr:row>
      <xdr:rowOff>114300</xdr:rowOff>
    </xdr:from>
    <xdr:to>
      <xdr:col>2</xdr:col>
      <xdr:colOff>790575</xdr:colOff>
      <xdr:row>2954</xdr:row>
      <xdr:rowOff>238125</xdr:rowOff>
    </xdr:to>
    <xdr:sp macro="" textlink="">
      <xdr:nvSpPr>
        <xdr:cNvPr id="8351" name="Text Box 159"/>
        <xdr:cNvSpPr txBox="1">
          <a:spLocks noChangeArrowheads="1"/>
        </xdr:cNvSpPr>
      </xdr:nvSpPr>
      <xdr:spPr bwMode="auto">
        <a:xfrm>
          <a:off x="1828800" y="671988750"/>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4254</xdr:row>
      <xdr:rowOff>0</xdr:rowOff>
    </xdr:from>
    <xdr:to>
      <xdr:col>2</xdr:col>
      <xdr:colOff>342900</xdr:colOff>
      <xdr:row>4254</xdr:row>
      <xdr:rowOff>0</xdr:rowOff>
    </xdr:to>
    <xdr:sp macro="" textlink="">
      <xdr:nvSpPr>
        <xdr:cNvPr id="8354" name="Text Box 162"/>
        <xdr:cNvSpPr txBox="1">
          <a:spLocks noChangeArrowheads="1"/>
        </xdr:cNvSpPr>
      </xdr:nvSpPr>
      <xdr:spPr bwMode="auto">
        <a:xfrm>
          <a:off x="1495425" y="6981825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390525</xdr:colOff>
      <xdr:row>3641</xdr:row>
      <xdr:rowOff>200025</xdr:rowOff>
    </xdr:from>
    <xdr:to>
      <xdr:col>2</xdr:col>
      <xdr:colOff>647700</xdr:colOff>
      <xdr:row>3642</xdr:row>
      <xdr:rowOff>114300</xdr:rowOff>
    </xdr:to>
    <xdr:sp macro="" textlink="">
      <xdr:nvSpPr>
        <xdr:cNvPr id="8361" name="Text Box 169"/>
        <xdr:cNvSpPr txBox="1">
          <a:spLocks noChangeArrowheads="1"/>
        </xdr:cNvSpPr>
      </xdr:nvSpPr>
      <xdr:spPr bwMode="auto">
        <a:xfrm>
          <a:off x="1685925" y="82807492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95250</xdr:colOff>
      <xdr:row>4183</xdr:row>
      <xdr:rowOff>104775</xdr:rowOff>
    </xdr:from>
    <xdr:to>
      <xdr:col>2</xdr:col>
      <xdr:colOff>352425</xdr:colOff>
      <xdr:row>4183</xdr:row>
      <xdr:rowOff>304800</xdr:rowOff>
    </xdr:to>
    <xdr:sp macro="" textlink="">
      <xdr:nvSpPr>
        <xdr:cNvPr id="8363" name="Text Box 171"/>
        <xdr:cNvSpPr txBox="1">
          <a:spLocks noChangeArrowheads="1"/>
        </xdr:cNvSpPr>
      </xdr:nvSpPr>
      <xdr:spPr bwMode="auto">
        <a:xfrm>
          <a:off x="1390650" y="1007535450"/>
          <a:ext cx="257175" cy="2000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438150</xdr:colOff>
      <xdr:row>2116</xdr:row>
      <xdr:rowOff>180975</xdr:rowOff>
    </xdr:from>
    <xdr:to>
      <xdr:col>2</xdr:col>
      <xdr:colOff>695325</xdr:colOff>
      <xdr:row>2117</xdr:row>
      <xdr:rowOff>104775</xdr:rowOff>
    </xdr:to>
    <xdr:sp macro="" textlink="">
      <xdr:nvSpPr>
        <xdr:cNvPr id="8371" name="Text Box 179"/>
        <xdr:cNvSpPr txBox="1">
          <a:spLocks noChangeArrowheads="1"/>
        </xdr:cNvSpPr>
      </xdr:nvSpPr>
      <xdr:spPr bwMode="auto">
        <a:xfrm>
          <a:off x="1695450" y="48553687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114300</xdr:colOff>
      <xdr:row>1040</xdr:row>
      <xdr:rowOff>152400</xdr:rowOff>
    </xdr:from>
    <xdr:to>
      <xdr:col>2</xdr:col>
      <xdr:colOff>371475</xdr:colOff>
      <xdr:row>1041</xdr:row>
      <xdr:rowOff>85725</xdr:rowOff>
    </xdr:to>
    <xdr:sp macro="" textlink="">
      <xdr:nvSpPr>
        <xdr:cNvPr id="8373" name="Text Box 181"/>
        <xdr:cNvSpPr txBox="1">
          <a:spLocks noChangeArrowheads="1"/>
        </xdr:cNvSpPr>
      </xdr:nvSpPr>
      <xdr:spPr bwMode="auto">
        <a:xfrm>
          <a:off x="1524000" y="201034650"/>
          <a:ext cx="257175"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1</xdr:col>
      <xdr:colOff>695325</xdr:colOff>
      <xdr:row>240</xdr:row>
      <xdr:rowOff>38100</xdr:rowOff>
    </xdr:from>
    <xdr:to>
      <xdr:col>1</xdr:col>
      <xdr:colOff>838200</xdr:colOff>
      <xdr:row>241</xdr:row>
      <xdr:rowOff>0</xdr:rowOff>
    </xdr:to>
    <xdr:sp macro="" textlink="">
      <xdr:nvSpPr>
        <xdr:cNvPr id="8407" name="Text Box 215"/>
        <xdr:cNvSpPr txBox="1">
          <a:spLocks noChangeArrowheads="1"/>
        </xdr:cNvSpPr>
      </xdr:nvSpPr>
      <xdr:spPr bwMode="auto">
        <a:xfrm>
          <a:off x="1209675" y="38652450"/>
          <a:ext cx="142875"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x</a:t>
          </a:r>
        </a:p>
      </xdr:txBody>
    </xdr:sp>
    <xdr:clientData/>
  </xdr:twoCellAnchor>
  <xdr:twoCellAnchor>
    <xdr:from>
      <xdr:col>2</xdr:col>
      <xdr:colOff>200025</xdr:colOff>
      <xdr:row>237</xdr:row>
      <xdr:rowOff>123825</xdr:rowOff>
    </xdr:from>
    <xdr:to>
      <xdr:col>2</xdr:col>
      <xdr:colOff>342900</xdr:colOff>
      <xdr:row>238</xdr:row>
      <xdr:rowOff>76200</xdr:rowOff>
    </xdr:to>
    <xdr:sp macro="" textlink="">
      <xdr:nvSpPr>
        <xdr:cNvPr id="8408" name="Text Box 216"/>
        <xdr:cNvSpPr txBox="1">
          <a:spLocks noChangeArrowheads="1"/>
        </xdr:cNvSpPr>
      </xdr:nvSpPr>
      <xdr:spPr bwMode="auto">
        <a:xfrm>
          <a:off x="1609725" y="38119050"/>
          <a:ext cx="142875"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0</xdr:colOff>
      <xdr:row>240</xdr:row>
      <xdr:rowOff>9525</xdr:rowOff>
    </xdr:from>
    <xdr:to>
      <xdr:col>2</xdr:col>
      <xdr:colOff>371475</xdr:colOff>
      <xdr:row>240</xdr:row>
      <xdr:rowOff>180975</xdr:rowOff>
    </xdr:to>
    <xdr:sp macro="" textlink="">
      <xdr:nvSpPr>
        <xdr:cNvPr id="8409" name="Text Box 217"/>
        <xdr:cNvSpPr txBox="1">
          <a:spLocks noChangeArrowheads="1"/>
        </xdr:cNvSpPr>
      </xdr:nvSpPr>
      <xdr:spPr bwMode="auto">
        <a:xfrm>
          <a:off x="1343025" y="38623875"/>
          <a:ext cx="438150" cy="1905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nk-Cast"/>
            </a:rPr>
            <a:t>2</a:t>
          </a:r>
          <a:r>
            <a:rPr lang="en-US" sz="1000" b="0" i="0" strike="noStrike">
              <a:solidFill>
                <a:srgbClr val="000000"/>
              </a:solidFill>
              <a:latin typeface="Arial"/>
              <a:cs typeface="Arial"/>
            </a:rPr>
            <a:t>  =</a:t>
          </a:r>
        </a:p>
      </xdr:txBody>
    </xdr:sp>
    <xdr:clientData/>
  </xdr:twoCellAnchor>
  <xdr:twoCellAnchor>
    <xdr:from>
      <xdr:col>2</xdr:col>
      <xdr:colOff>85725</xdr:colOff>
      <xdr:row>1187</xdr:row>
      <xdr:rowOff>161925</xdr:rowOff>
    </xdr:from>
    <xdr:to>
      <xdr:col>2</xdr:col>
      <xdr:colOff>342900</xdr:colOff>
      <xdr:row>1188</xdr:row>
      <xdr:rowOff>114300</xdr:rowOff>
    </xdr:to>
    <xdr:sp macro="" textlink="">
      <xdr:nvSpPr>
        <xdr:cNvPr id="8410" name="Text Box 218"/>
        <xdr:cNvSpPr txBox="1">
          <a:spLocks noChangeArrowheads="1"/>
        </xdr:cNvSpPr>
      </xdr:nvSpPr>
      <xdr:spPr bwMode="auto">
        <a:xfrm>
          <a:off x="1495425" y="232057575"/>
          <a:ext cx="257175" cy="2000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1331</xdr:row>
      <xdr:rowOff>133350</xdr:rowOff>
    </xdr:from>
    <xdr:to>
      <xdr:col>2</xdr:col>
      <xdr:colOff>342900</xdr:colOff>
      <xdr:row>1332</xdr:row>
      <xdr:rowOff>47625</xdr:rowOff>
    </xdr:to>
    <xdr:sp macro="" textlink="">
      <xdr:nvSpPr>
        <xdr:cNvPr id="8412" name="Text Box 220"/>
        <xdr:cNvSpPr txBox="1">
          <a:spLocks noChangeArrowheads="1"/>
        </xdr:cNvSpPr>
      </xdr:nvSpPr>
      <xdr:spPr bwMode="auto">
        <a:xfrm>
          <a:off x="1495425" y="2432208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1421</xdr:row>
      <xdr:rowOff>123825</xdr:rowOff>
    </xdr:from>
    <xdr:to>
      <xdr:col>2</xdr:col>
      <xdr:colOff>342900</xdr:colOff>
      <xdr:row>1422</xdr:row>
      <xdr:rowOff>47625</xdr:rowOff>
    </xdr:to>
    <xdr:sp macro="" textlink="">
      <xdr:nvSpPr>
        <xdr:cNvPr id="8413" name="Text Box 221"/>
        <xdr:cNvSpPr txBox="1">
          <a:spLocks noChangeArrowheads="1"/>
        </xdr:cNvSpPr>
      </xdr:nvSpPr>
      <xdr:spPr bwMode="auto">
        <a:xfrm>
          <a:off x="1495425" y="25380315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276225</xdr:colOff>
      <xdr:row>1541</xdr:row>
      <xdr:rowOff>85725</xdr:rowOff>
    </xdr:from>
    <xdr:to>
      <xdr:col>2</xdr:col>
      <xdr:colOff>533400</xdr:colOff>
      <xdr:row>1542</xdr:row>
      <xdr:rowOff>9525</xdr:rowOff>
    </xdr:to>
    <xdr:sp macro="" textlink="">
      <xdr:nvSpPr>
        <xdr:cNvPr id="8414" name="Text Box 222"/>
        <xdr:cNvSpPr txBox="1">
          <a:spLocks noChangeArrowheads="1"/>
        </xdr:cNvSpPr>
      </xdr:nvSpPr>
      <xdr:spPr bwMode="auto">
        <a:xfrm>
          <a:off x="1504950" y="337223100"/>
          <a:ext cx="257175"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1356</xdr:row>
      <xdr:rowOff>114300</xdr:rowOff>
    </xdr:from>
    <xdr:to>
      <xdr:col>2</xdr:col>
      <xdr:colOff>361950</xdr:colOff>
      <xdr:row>1357</xdr:row>
      <xdr:rowOff>57150</xdr:rowOff>
    </xdr:to>
    <xdr:sp macro="" textlink="">
      <xdr:nvSpPr>
        <xdr:cNvPr id="8417" name="Text Box 225"/>
        <xdr:cNvSpPr txBox="1">
          <a:spLocks noChangeArrowheads="1"/>
        </xdr:cNvSpPr>
      </xdr:nvSpPr>
      <xdr:spPr bwMode="auto">
        <a:xfrm>
          <a:off x="1514475" y="24637365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1220</xdr:row>
      <xdr:rowOff>114300</xdr:rowOff>
    </xdr:from>
    <xdr:to>
      <xdr:col>2</xdr:col>
      <xdr:colOff>342900</xdr:colOff>
      <xdr:row>1221</xdr:row>
      <xdr:rowOff>38100</xdr:rowOff>
    </xdr:to>
    <xdr:sp macro="" textlink="">
      <xdr:nvSpPr>
        <xdr:cNvPr id="8419" name="Text Box 227"/>
        <xdr:cNvSpPr txBox="1">
          <a:spLocks noChangeArrowheads="1"/>
        </xdr:cNvSpPr>
      </xdr:nvSpPr>
      <xdr:spPr bwMode="auto">
        <a:xfrm>
          <a:off x="1495425" y="236639100"/>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1176</xdr:row>
      <xdr:rowOff>0</xdr:rowOff>
    </xdr:from>
    <xdr:to>
      <xdr:col>2</xdr:col>
      <xdr:colOff>342900</xdr:colOff>
      <xdr:row>1176</xdr:row>
      <xdr:rowOff>0</xdr:rowOff>
    </xdr:to>
    <xdr:sp macro="" textlink="">
      <xdr:nvSpPr>
        <xdr:cNvPr id="8420" name="Text Box 228"/>
        <xdr:cNvSpPr txBox="1">
          <a:spLocks noChangeArrowheads="1"/>
        </xdr:cNvSpPr>
      </xdr:nvSpPr>
      <xdr:spPr bwMode="auto">
        <a:xfrm>
          <a:off x="1495425" y="2285047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133350</xdr:colOff>
      <xdr:row>1176</xdr:row>
      <xdr:rowOff>0</xdr:rowOff>
    </xdr:from>
    <xdr:to>
      <xdr:col>2</xdr:col>
      <xdr:colOff>390525</xdr:colOff>
      <xdr:row>1176</xdr:row>
      <xdr:rowOff>0</xdr:rowOff>
    </xdr:to>
    <xdr:sp macro="" textlink="">
      <xdr:nvSpPr>
        <xdr:cNvPr id="8421" name="Text Box 229"/>
        <xdr:cNvSpPr txBox="1">
          <a:spLocks noChangeArrowheads="1"/>
        </xdr:cNvSpPr>
      </xdr:nvSpPr>
      <xdr:spPr bwMode="auto">
        <a:xfrm>
          <a:off x="1543050" y="2285047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1176</xdr:row>
      <xdr:rowOff>0</xdr:rowOff>
    </xdr:from>
    <xdr:to>
      <xdr:col>2</xdr:col>
      <xdr:colOff>361950</xdr:colOff>
      <xdr:row>1176</xdr:row>
      <xdr:rowOff>0</xdr:rowOff>
    </xdr:to>
    <xdr:sp macro="" textlink="">
      <xdr:nvSpPr>
        <xdr:cNvPr id="8422" name="Text Box 230"/>
        <xdr:cNvSpPr txBox="1">
          <a:spLocks noChangeArrowheads="1"/>
        </xdr:cNvSpPr>
      </xdr:nvSpPr>
      <xdr:spPr bwMode="auto">
        <a:xfrm>
          <a:off x="1514475" y="2285047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1176</xdr:row>
      <xdr:rowOff>0</xdr:rowOff>
    </xdr:from>
    <xdr:to>
      <xdr:col>2</xdr:col>
      <xdr:colOff>342900</xdr:colOff>
      <xdr:row>1176</xdr:row>
      <xdr:rowOff>0</xdr:rowOff>
    </xdr:to>
    <xdr:sp macro="" textlink="">
      <xdr:nvSpPr>
        <xdr:cNvPr id="8423" name="Text Box 231"/>
        <xdr:cNvSpPr txBox="1">
          <a:spLocks noChangeArrowheads="1"/>
        </xdr:cNvSpPr>
      </xdr:nvSpPr>
      <xdr:spPr bwMode="auto">
        <a:xfrm>
          <a:off x="1495425" y="2285047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485775</xdr:colOff>
      <xdr:row>1407</xdr:row>
      <xdr:rowOff>123825</xdr:rowOff>
    </xdr:from>
    <xdr:to>
      <xdr:col>2</xdr:col>
      <xdr:colOff>742950</xdr:colOff>
      <xdr:row>1408</xdr:row>
      <xdr:rowOff>66675</xdr:rowOff>
    </xdr:to>
    <xdr:sp macro="" textlink="">
      <xdr:nvSpPr>
        <xdr:cNvPr id="8427" name="Text Box 235"/>
        <xdr:cNvSpPr txBox="1">
          <a:spLocks noChangeArrowheads="1"/>
        </xdr:cNvSpPr>
      </xdr:nvSpPr>
      <xdr:spPr bwMode="auto">
        <a:xfrm>
          <a:off x="1781175" y="306762150"/>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485775</xdr:colOff>
      <xdr:row>2867</xdr:row>
      <xdr:rowOff>238125</xdr:rowOff>
    </xdr:from>
    <xdr:to>
      <xdr:col>2</xdr:col>
      <xdr:colOff>742950</xdr:colOff>
      <xdr:row>2868</xdr:row>
      <xdr:rowOff>85725</xdr:rowOff>
    </xdr:to>
    <xdr:sp macro="" textlink="">
      <xdr:nvSpPr>
        <xdr:cNvPr id="8429" name="Text Box 237"/>
        <xdr:cNvSpPr txBox="1">
          <a:spLocks noChangeArrowheads="1"/>
        </xdr:cNvSpPr>
      </xdr:nvSpPr>
      <xdr:spPr bwMode="auto">
        <a:xfrm>
          <a:off x="1781175" y="65218627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3683</xdr:row>
      <xdr:rowOff>152400</xdr:rowOff>
    </xdr:from>
    <xdr:to>
      <xdr:col>2</xdr:col>
      <xdr:colOff>342900</xdr:colOff>
      <xdr:row>3684</xdr:row>
      <xdr:rowOff>0</xdr:rowOff>
    </xdr:to>
    <xdr:sp macro="" textlink="">
      <xdr:nvSpPr>
        <xdr:cNvPr id="47709" name="Text Box 239"/>
        <xdr:cNvSpPr txBox="1">
          <a:spLocks noChangeArrowheads="1"/>
        </xdr:cNvSpPr>
      </xdr:nvSpPr>
      <xdr:spPr bwMode="auto">
        <a:xfrm>
          <a:off x="1314450" y="534771600"/>
          <a:ext cx="257175" cy="76200"/>
        </a:xfrm>
        <a:prstGeom prst="rect">
          <a:avLst/>
        </a:prstGeom>
        <a:solidFill>
          <a:srgbClr val="FFFFFF"/>
        </a:solidFill>
        <a:ln w="9525">
          <a:noFill/>
          <a:miter lim="800000"/>
          <a:headEnd/>
          <a:tailEnd/>
        </a:ln>
      </xdr:spPr>
    </xdr:sp>
    <xdr:clientData/>
  </xdr:twoCellAnchor>
  <xdr:twoCellAnchor>
    <xdr:from>
      <xdr:col>2</xdr:col>
      <xdr:colOff>228600</xdr:colOff>
      <xdr:row>3704</xdr:row>
      <xdr:rowOff>114300</xdr:rowOff>
    </xdr:from>
    <xdr:to>
      <xdr:col>2</xdr:col>
      <xdr:colOff>485775</xdr:colOff>
      <xdr:row>3708</xdr:row>
      <xdr:rowOff>9525</xdr:rowOff>
    </xdr:to>
    <xdr:sp macro="" textlink="">
      <xdr:nvSpPr>
        <xdr:cNvPr id="8432" name="Text Box 240"/>
        <xdr:cNvSpPr txBox="1">
          <a:spLocks noChangeArrowheads="1"/>
        </xdr:cNvSpPr>
      </xdr:nvSpPr>
      <xdr:spPr bwMode="auto">
        <a:xfrm>
          <a:off x="1524000" y="841724250"/>
          <a:ext cx="257175" cy="333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266700</xdr:colOff>
      <xdr:row>3717</xdr:row>
      <xdr:rowOff>104775</xdr:rowOff>
    </xdr:from>
    <xdr:to>
      <xdr:col>2</xdr:col>
      <xdr:colOff>457200</xdr:colOff>
      <xdr:row>3718</xdr:row>
      <xdr:rowOff>9525</xdr:rowOff>
    </xdr:to>
    <xdr:sp macro="" textlink="">
      <xdr:nvSpPr>
        <xdr:cNvPr id="8433" name="Text Box 241"/>
        <xdr:cNvSpPr txBox="1">
          <a:spLocks noChangeArrowheads="1"/>
        </xdr:cNvSpPr>
      </xdr:nvSpPr>
      <xdr:spPr bwMode="auto">
        <a:xfrm>
          <a:off x="1562100" y="844372200"/>
          <a:ext cx="190500"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685800</xdr:colOff>
      <xdr:row>3690</xdr:row>
      <xdr:rowOff>47625</xdr:rowOff>
    </xdr:from>
    <xdr:to>
      <xdr:col>2</xdr:col>
      <xdr:colOff>942975</xdr:colOff>
      <xdr:row>3690</xdr:row>
      <xdr:rowOff>180975</xdr:rowOff>
    </xdr:to>
    <xdr:sp macro="" textlink="">
      <xdr:nvSpPr>
        <xdr:cNvPr id="8434" name="Text Box 242"/>
        <xdr:cNvSpPr txBox="1">
          <a:spLocks noChangeArrowheads="1"/>
        </xdr:cNvSpPr>
      </xdr:nvSpPr>
      <xdr:spPr bwMode="auto">
        <a:xfrm>
          <a:off x="1981200" y="838285725"/>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485775</xdr:colOff>
      <xdr:row>1911</xdr:row>
      <xdr:rowOff>142875</xdr:rowOff>
    </xdr:from>
    <xdr:to>
      <xdr:col>2</xdr:col>
      <xdr:colOff>742950</xdr:colOff>
      <xdr:row>1912</xdr:row>
      <xdr:rowOff>38100</xdr:rowOff>
    </xdr:to>
    <xdr:sp macro="" textlink="">
      <xdr:nvSpPr>
        <xdr:cNvPr id="8437" name="Text Box 245"/>
        <xdr:cNvSpPr txBox="1">
          <a:spLocks noChangeArrowheads="1"/>
        </xdr:cNvSpPr>
      </xdr:nvSpPr>
      <xdr:spPr bwMode="auto">
        <a:xfrm>
          <a:off x="1743075" y="4204049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352425</xdr:colOff>
      <xdr:row>1933</xdr:row>
      <xdr:rowOff>123825</xdr:rowOff>
    </xdr:from>
    <xdr:to>
      <xdr:col>2</xdr:col>
      <xdr:colOff>609600</xdr:colOff>
      <xdr:row>1934</xdr:row>
      <xdr:rowOff>47625</xdr:rowOff>
    </xdr:to>
    <xdr:sp macro="" textlink="">
      <xdr:nvSpPr>
        <xdr:cNvPr id="8438" name="Text Box 246"/>
        <xdr:cNvSpPr txBox="1">
          <a:spLocks noChangeArrowheads="1"/>
        </xdr:cNvSpPr>
      </xdr:nvSpPr>
      <xdr:spPr bwMode="auto">
        <a:xfrm>
          <a:off x="1609725" y="4245768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1886</xdr:row>
      <xdr:rowOff>0</xdr:rowOff>
    </xdr:from>
    <xdr:to>
      <xdr:col>2</xdr:col>
      <xdr:colOff>342900</xdr:colOff>
      <xdr:row>1886</xdr:row>
      <xdr:rowOff>0</xdr:rowOff>
    </xdr:to>
    <xdr:sp macro="" textlink="">
      <xdr:nvSpPr>
        <xdr:cNvPr id="8439" name="Text Box 247"/>
        <xdr:cNvSpPr txBox="1">
          <a:spLocks noChangeArrowheads="1"/>
        </xdr:cNvSpPr>
      </xdr:nvSpPr>
      <xdr:spPr bwMode="auto">
        <a:xfrm>
          <a:off x="1495425" y="8960262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1886</xdr:row>
      <xdr:rowOff>0</xdr:rowOff>
    </xdr:from>
    <xdr:to>
      <xdr:col>2</xdr:col>
      <xdr:colOff>342900</xdr:colOff>
      <xdr:row>1886</xdr:row>
      <xdr:rowOff>0</xdr:rowOff>
    </xdr:to>
    <xdr:sp macro="" textlink="">
      <xdr:nvSpPr>
        <xdr:cNvPr id="8440" name="Text Box 248"/>
        <xdr:cNvSpPr txBox="1">
          <a:spLocks noChangeArrowheads="1"/>
        </xdr:cNvSpPr>
      </xdr:nvSpPr>
      <xdr:spPr bwMode="auto">
        <a:xfrm>
          <a:off x="1495425" y="8960262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1886</xdr:row>
      <xdr:rowOff>0</xdr:rowOff>
    </xdr:from>
    <xdr:to>
      <xdr:col>2</xdr:col>
      <xdr:colOff>342900</xdr:colOff>
      <xdr:row>1886</xdr:row>
      <xdr:rowOff>0</xdr:rowOff>
    </xdr:to>
    <xdr:sp macro="" textlink="">
      <xdr:nvSpPr>
        <xdr:cNvPr id="8441" name="Text Box 249"/>
        <xdr:cNvSpPr txBox="1">
          <a:spLocks noChangeArrowheads="1"/>
        </xdr:cNvSpPr>
      </xdr:nvSpPr>
      <xdr:spPr bwMode="auto">
        <a:xfrm>
          <a:off x="1495425" y="8960262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1886</xdr:row>
      <xdr:rowOff>0</xdr:rowOff>
    </xdr:from>
    <xdr:to>
      <xdr:col>2</xdr:col>
      <xdr:colOff>342900</xdr:colOff>
      <xdr:row>1886</xdr:row>
      <xdr:rowOff>0</xdr:rowOff>
    </xdr:to>
    <xdr:sp macro="" textlink="">
      <xdr:nvSpPr>
        <xdr:cNvPr id="8442" name="Text Box 250"/>
        <xdr:cNvSpPr txBox="1">
          <a:spLocks noChangeArrowheads="1"/>
        </xdr:cNvSpPr>
      </xdr:nvSpPr>
      <xdr:spPr bwMode="auto">
        <a:xfrm>
          <a:off x="1495425" y="8960262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1886</xdr:row>
      <xdr:rowOff>0</xdr:rowOff>
    </xdr:from>
    <xdr:to>
      <xdr:col>2</xdr:col>
      <xdr:colOff>342900</xdr:colOff>
      <xdr:row>1886</xdr:row>
      <xdr:rowOff>0</xdr:rowOff>
    </xdr:to>
    <xdr:sp macro="" textlink="">
      <xdr:nvSpPr>
        <xdr:cNvPr id="8443" name="Text Box 251"/>
        <xdr:cNvSpPr txBox="1">
          <a:spLocks noChangeArrowheads="1"/>
        </xdr:cNvSpPr>
      </xdr:nvSpPr>
      <xdr:spPr bwMode="auto">
        <a:xfrm>
          <a:off x="1495425" y="8960262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1886</xdr:row>
      <xdr:rowOff>0</xdr:rowOff>
    </xdr:from>
    <xdr:to>
      <xdr:col>2</xdr:col>
      <xdr:colOff>342900</xdr:colOff>
      <xdr:row>1886</xdr:row>
      <xdr:rowOff>0</xdr:rowOff>
    </xdr:to>
    <xdr:sp macro="" textlink="">
      <xdr:nvSpPr>
        <xdr:cNvPr id="8444" name="Text Box 252"/>
        <xdr:cNvSpPr txBox="1">
          <a:spLocks noChangeArrowheads="1"/>
        </xdr:cNvSpPr>
      </xdr:nvSpPr>
      <xdr:spPr bwMode="auto">
        <a:xfrm>
          <a:off x="1495425" y="8960262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1894</xdr:row>
      <xdr:rowOff>0</xdr:rowOff>
    </xdr:from>
    <xdr:to>
      <xdr:col>2</xdr:col>
      <xdr:colOff>342900</xdr:colOff>
      <xdr:row>1894</xdr:row>
      <xdr:rowOff>0</xdr:rowOff>
    </xdr:to>
    <xdr:sp macro="" textlink="">
      <xdr:nvSpPr>
        <xdr:cNvPr id="47723" name="Text Box 253"/>
        <xdr:cNvSpPr txBox="1">
          <a:spLocks noChangeArrowheads="1"/>
        </xdr:cNvSpPr>
      </xdr:nvSpPr>
      <xdr:spPr bwMode="auto">
        <a:xfrm>
          <a:off x="1314450" y="852858975"/>
          <a:ext cx="257175" cy="0"/>
        </a:xfrm>
        <a:prstGeom prst="rect">
          <a:avLst/>
        </a:prstGeom>
        <a:solidFill>
          <a:srgbClr val="FFFFFF"/>
        </a:solidFill>
        <a:ln w="9525">
          <a:noFill/>
          <a:miter lim="800000"/>
          <a:headEnd/>
          <a:tailEnd/>
        </a:ln>
      </xdr:spPr>
    </xdr:sp>
    <xdr:clientData/>
  </xdr:twoCellAnchor>
  <xdr:twoCellAnchor>
    <xdr:from>
      <xdr:col>2</xdr:col>
      <xdr:colOff>85725</xdr:colOff>
      <xdr:row>1894</xdr:row>
      <xdr:rowOff>0</xdr:rowOff>
    </xdr:from>
    <xdr:to>
      <xdr:col>2</xdr:col>
      <xdr:colOff>342900</xdr:colOff>
      <xdr:row>1894</xdr:row>
      <xdr:rowOff>0</xdr:rowOff>
    </xdr:to>
    <xdr:sp macro="" textlink="">
      <xdr:nvSpPr>
        <xdr:cNvPr id="8446" name="Text Box 254"/>
        <xdr:cNvSpPr txBox="1">
          <a:spLocks noChangeArrowheads="1"/>
        </xdr:cNvSpPr>
      </xdr:nvSpPr>
      <xdr:spPr bwMode="auto">
        <a:xfrm>
          <a:off x="1495425" y="8985027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1894</xdr:row>
      <xdr:rowOff>0</xdr:rowOff>
    </xdr:from>
    <xdr:to>
      <xdr:col>2</xdr:col>
      <xdr:colOff>276225</xdr:colOff>
      <xdr:row>1894</xdr:row>
      <xdr:rowOff>0</xdr:rowOff>
    </xdr:to>
    <xdr:sp macro="" textlink="">
      <xdr:nvSpPr>
        <xdr:cNvPr id="8447" name="Text Box 255"/>
        <xdr:cNvSpPr txBox="1">
          <a:spLocks noChangeArrowheads="1"/>
        </xdr:cNvSpPr>
      </xdr:nvSpPr>
      <xdr:spPr bwMode="auto">
        <a:xfrm>
          <a:off x="1495425" y="8985027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1894</xdr:row>
      <xdr:rowOff>0</xdr:rowOff>
    </xdr:from>
    <xdr:to>
      <xdr:col>2</xdr:col>
      <xdr:colOff>342900</xdr:colOff>
      <xdr:row>1894</xdr:row>
      <xdr:rowOff>0</xdr:rowOff>
    </xdr:to>
    <xdr:sp macro="" textlink="">
      <xdr:nvSpPr>
        <xdr:cNvPr id="8448" name="Text Box 256"/>
        <xdr:cNvSpPr txBox="1">
          <a:spLocks noChangeArrowheads="1"/>
        </xdr:cNvSpPr>
      </xdr:nvSpPr>
      <xdr:spPr bwMode="auto">
        <a:xfrm>
          <a:off x="1495425" y="8985027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1908</xdr:row>
      <xdr:rowOff>0</xdr:rowOff>
    </xdr:from>
    <xdr:to>
      <xdr:col>2</xdr:col>
      <xdr:colOff>342900</xdr:colOff>
      <xdr:row>1908</xdr:row>
      <xdr:rowOff>0</xdr:rowOff>
    </xdr:to>
    <xdr:sp macro="" textlink="">
      <xdr:nvSpPr>
        <xdr:cNvPr id="47727" name="Text Box 257"/>
        <xdr:cNvSpPr txBox="1">
          <a:spLocks noChangeArrowheads="1"/>
        </xdr:cNvSpPr>
      </xdr:nvSpPr>
      <xdr:spPr bwMode="auto">
        <a:xfrm>
          <a:off x="1314450" y="856221300"/>
          <a:ext cx="257175" cy="0"/>
        </a:xfrm>
        <a:prstGeom prst="rect">
          <a:avLst/>
        </a:prstGeom>
        <a:solidFill>
          <a:srgbClr val="FFFFFF"/>
        </a:solidFill>
        <a:ln w="9525">
          <a:noFill/>
          <a:miter lim="800000"/>
          <a:headEnd/>
          <a:tailEnd/>
        </a:ln>
      </xdr:spPr>
    </xdr:sp>
    <xdr:clientData/>
  </xdr:twoCellAnchor>
  <xdr:twoCellAnchor>
    <xdr:from>
      <xdr:col>2</xdr:col>
      <xdr:colOff>85725</xdr:colOff>
      <xdr:row>1908</xdr:row>
      <xdr:rowOff>0</xdr:rowOff>
    </xdr:from>
    <xdr:to>
      <xdr:col>2</xdr:col>
      <xdr:colOff>342900</xdr:colOff>
      <xdr:row>1908</xdr:row>
      <xdr:rowOff>0</xdr:rowOff>
    </xdr:to>
    <xdr:sp macro="" textlink="">
      <xdr:nvSpPr>
        <xdr:cNvPr id="8450" name="Text Box 258"/>
        <xdr:cNvSpPr txBox="1">
          <a:spLocks noChangeArrowheads="1"/>
        </xdr:cNvSpPr>
      </xdr:nvSpPr>
      <xdr:spPr bwMode="auto">
        <a:xfrm>
          <a:off x="1495425" y="9021508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1908</xdr:row>
      <xdr:rowOff>0</xdr:rowOff>
    </xdr:from>
    <xdr:to>
      <xdr:col>2</xdr:col>
      <xdr:colOff>276225</xdr:colOff>
      <xdr:row>1908</xdr:row>
      <xdr:rowOff>0</xdr:rowOff>
    </xdr:to>
    <xdr:sp macro="" textlink="">
      <xdr:nvSpPr>
        <xdr:cNvPr id="8451" name="Text Box 259"/>
        <xdr:cNvSpPr txBox="1">
          <a:spLocks noChangeArrowheads="1"/>
        </xdr:cNvSpPr>
      </xdr:nvSpPr>
      <xdr:spPr bwMode="auto">
        <a:xfrm>
          <a:off x="1495425" y="902150850"/>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1908</xdr:row>
      <xdr:rowOff>0</xdr:rowOff>
    </xdr:from>
    <xdr:to>
      <xdr:col>2</xdr:col>
      <xdr:colOff>342900</xdr:colOff>
      <xdr:row>1908</xdr:row>
      <xdr:rowOff>0</xdr:rowOff>
    </xdr:to>
    <xdr:sp macro="" textlink="">
      <xdr:nvSpPr>
        <xdr:cNvPr id="8452" name="Text Box 260"/>
        <xdr:cNvSpPr txBox="1">
          <a:spLocks noChangeArrowheads="1"/>
        </xdr:cNvSpPr>
      </xdr:nvSpPr>
      <xdr:spPr bwMode="auto">
        <a:xfrm>
          <a:off x="1495425" y="9021508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1951</xdr:row>
      <xdr:rowOff>0</xdr:rowOff>
    </xdr:from>
    <xdr:to>
      <xdr:col>2</xdr:col>
      <xdr:colOff>342900</xdr:colOff>
      <xdr:row>1951</xdr:row>
      <xdr:rowOff>0</xdr:rowOff>
    </xdr:to>
    <xdr:sp macro="" textlink="">
      <xdr:nvSpPr>
        <xdr:cNvPr id="47731" name="Text Box 261"/>
        <xdr:cNvSpPr txBox="1">
          <a:spLocks noChangeArrowheads="1"/>
        </xdr:cNvSpPr>
      </xdr:nvSpPr>
      <xdr:spPr bwMode="auto">
        <a:xfrm>
          <a:off x="1314450" y="865746300"/>
          <a:ext cx="257175" cy="0"/>
        </a:xfrm>
        <a:prstGeom prst="rect">
          <a:avLst/>
        </a:prstGeom>
        <a:solidFill>
          <a:srgbClr val="FFFFFF"/>
        </a:solidFill>
        <a:ln w="9525">
          <a:noFill/>
          <a:miter lim="800000"/>
          <a:headEnd/>
          <a:tailEnd/>
        </a:ln>
      </xdr:spPr>
    </xdr:sp>
    <xdr:clientData/>
  </xdr:twoCellAnchor>
  <xdr:twoCellAnchor>
    <xdr:from>
      <xdr:col>2</xdr:col>
      <xdr:colOff>85725</xdr:colOff>
      <xdr:row>1951</xdr:row>
      <xdr:rowOff>0</xdr:rowOff>
    </xdr:from>
    <xdr:to>
      <xdr:col>2</xdr:col>
      <xdr:colOff>342900</xdr:colOff>
      <xdr:row>1951</xdr:row>
      <xdr:rowOff>0</xdr:rowOff>
    </xdr:to>
    <xdr:sp macro="" textlink="">
      <xdr:nvSpPr>
        <xdr:cNvPr id="8454" name="Text Box 262"/>
        <xdr:cNvSpPr txBox="1">
          <a:spLocks noChangeArrowheads="1"/>
        </xdr:cNvSpPr>
      </xdr:nvSpPr>
      <xdr:spPr bwMode="auto">
        <a:xfrm>
          <a:off x="1495425" y="9125902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1951</xdr:row>
      <xdr:rowOff>0</xdr:rowOff>
    </xdr:from>
    <xdr:to>
      <xdr:col>2</xdr:col>
      <xdr:colOff>276225</xdr:colOff>
      <xdr:row>1951</xdr:row>
      <xdr:rowOff>0</xdr:rowOff>
    </xdr:to>
    <xdr:sp macro="" textlink="">
      <xdr:nvSpPr>
        <xdr:cNvPr id="8455" name="Text Box 263"/>
        <xdr:cNvSpPr txBox="1">
          <a:spLocks noChangeArrowheads="1"/>
        </xdr:cNvSpPr>
      </xdr:nvSpPr>
      <xdr:spPr bwMode="auto">
        <a:xfrm>
          <a:off x="1495425" y="912590250"/>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1951</xdr:row>
      <xdr:rowOff>0</xdr:rowOff>
    </xdr:from>
    <xdr:to>
      <xdr:col>2</xdr:col>
      <xdr:colOff>342900</xdr:colOff>
      <xdr:row>1951</xdr:row>
      <xdr:rowOff>0</xdr:rowOff>
    </xdr:to>
    <xdr:sp macro="" textlink="">
      <xdr:nvSpPr>
        <xdr:cNvPr id="8456" name="Text Box 264"/>
        <xdr:cNvSpPr txBox="1">
          <a:spLocks noChangeArrowheads="1"/>
        </xdr:cNvSpPr>
      </xdr:nvSpPr>
      <xdr:spPr bwMode="auto">
        <a:xfrm>
          <a:off x="1495425" y="9125902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3561</xdr:row>
      <xdr:rowOff>0</xdr:rowOff>
    </xdr:from>
    <xdr:to>
      <xdr:col>2</xdr:col>
      <xdr:colOff>342900</xdr:colOff>
      <xdr:row>3561</xdr:row>
      <xdr:rowOff>0</xdr:rowOff>
    </xdr:to>
    <xdr:sp macro="" textlink="">
      <xdr:nvSpPr>
        <xdr:cNvPr id="47735" name="Text Box 265"/>
        <xdr:cNvSpPr txBox="1">
          <a:spLocks noChangeArrowheads="1"/>
        </xdr:cNvSpPr>
      </xdr:nvSpPr>
      <xdr:spPr bwMode="auto">
        <a:xfrm>
          <a:off x="1314450" y="923134425"/>
          <a:ext cx="257175" cy="0"/>
        </a:xfrm>
        <a:prstGeom prst="rect">
          <a:avLst/>
        </a:prstGeom>
        <a:solidFill>
          <a:srgbClr val="FFFFFF"/>
        </a:solidFill>
        <a:ln w="9525">
          <a:noFill/>
          <a:miter lim="800000"/>
          <a:headEnd/>
          <a:tailEnd/>
        </a:ln>
      </xdr:spPr>
    </xdr:sp>
    <xdr:clientData/>
  </xdr:twoCellAnchor>
  <xdr:twoCellAnchor>
    <xdr:from>
      <xdr:col>2</xdr:col>
      <xdr:colOff>85725</xdr:colOff>
      <xdr:row>3561</xdr:row>
      <xdr:rowOff>0</xdr:rowOff>
    </xdr:from>
    <xdr:to>
      <xdr:col>2</xdr:col>
      <xdr:colOff>342900</xdr:colOff>
      <xdr:row>3561</xdr:row>
      <xdr:rowOff>0</xdr:rowOff>
    </xdr:to>
    <xdr:sp macro="" textlink="">
      <xdr:nvSpPr>
        <xdr:cNvPr id="8458" name="Text Box 266"/>
        <xdr:cNvSpPr txBox="1">
          <a:spLocks noChangeArrowheads="1"/>
        </xdr:cNvSpPr>
      </xdr:nvSpPr>
      <xdr:spPr bwMode="auto">
        <a:xfrm>
          <a:off x="1495425" y="9732264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3561</xdr:row>
      <xdr:rowOff>0</xdr:rowOff>
    </xdr:from>
    <xdr:to>
      <xdr:col>2</xdr:col>
      <xdr:colOff>276225</xdr:colOff>
      <xdr:row>3561</xdr:row>
      <xdr:rowOff>0</xdr:rowOff>
    </xdr:to>
    <xdr:sp macro="" textlink="">
      <xdr:nvSpPr>
        <xdr:cNvPr id="8459" name="Text Box 267"/>
        <xdr:cNvSpPr txBox="1">
          <a:spLocks noChangeArrowheads="1"/>
        </xdr:cNvSpPr>
      </xdr:nvSpPr>
      <xdr:spPr bwMode="auto">
        <a:xfrm>
          <a:off x="1495425" y="973226400"/>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3561</xdr:row>
      <xdr:rowOff>0</xdr:rowOff>
    </xdr:from>
    <xdr:to>
      <xdr:col>2</xdr:col>
      <xdr:colOff>342900</xdr:colOff>
      <xdr:row>3561</xdr:row>
      <xdr:rowOff>0</xdr:rowOff>
    </xdr:to>
    <xdr:sp macro="" textlink="">
      <xdr:nvSpPr>
        <xdr:cNvPr id="8460" name="Text Box 268"/>
        <xdr:cNvSpPr txBox="1">
          <a:spLocks noChangeArrowheads="1"/>
        </xdr:cNvSpPr>
      </xdr:nvSpPr>
      <xdr:spPr bwMode="auto">
        <a:xfrm>
          <a:off x="1495425" y="9732264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428625</xdr:colOff>
      <xdr:row>2312</xdr:row>
      <xdr:rowOff>47625</xdr:rowOff>
    </xdr:from>
    <xdr:to>
      <xdr:col>2</xdr:col>
      <xdr:colOff>685800</xdr:colOff>
      <xdr:row>2312</xdr:row>
      <xdr:rowOff>219075</xdr:rowOff>
    </xdr:to>
    <xdr:sp macro="" textlink="">
      <xdr:nvSpPr>
        <xdr:cNvPr id="8463" name="Text Box 271"/>
        <xdr:cNvSpPr txBox="1">
          <a:spLocks noChangeArrowheads="1"/>
        </xdr:cNvSpPr>
      </xdr:nvSpPr>
      <xdr:spPr bwMode="auto">
        <a:xfrm>
          <a:off x="1743075" y="528923250"/>
          <a:ext cx="257175"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361950</xdr:colOff>
      <xdr:row>2357</xdr:row>
      <xdr:rowOff>190500</xdr:rowOff>
    </xdr:from>
    <xdr:to>
      <xdr:col>2</xdr:col>
      <xdr:colOff>619125</xdr:colOff>
      <xdr:row>2358</xdr:row>
      <xdr:rowOff>85725</xdr:rowOff>
    </xdr:to>
    <xdr:sp macro="" textlink="">
      <xdr:nvSpPr>
        <xdr:cNvPr id="8464" name="Text Box 272"/>
        <xdr:cNvSpPr txBox="1">
          <a:spLocks noChangeArrowheads="1"/>
        </xdr:cNvSpPr>
      </xdr:nvSpPr>
      <xdr:spPr bwMode="auto">
        <a:xfrm>
          <a:off x="1676400" y="538600650"/>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466725</xdr:colOff>
      <xdr:row>2373</xdr:row>
      <xdr:rowOff>95250</xdr:rowOff>
    </xdr:from>
    <xdr:to>
      <xdr:col>2</xdr:col>
      <xdr:colOff>723900</xdr:colOff>
      <xdr:row>2374</xdr:row>
      <xdr:rowOff>0</xdr:rowOff>
    </xdr:to>
    <xdr:sp macro="" textlink="">
      <xdr:nvSpPr>
        <xdr:cNvPr id="8465" name="Text Box 273"/>
        <xdr:cNvSpPr txBox="1">
          <a:spLocks noChangeArrowheads="1"/>
        </xdr:cNvSpPr>
      </xdr:nvSpPr>
      <xdr:spPr bwMode="auto">
        <a:xfrm>
          <a:off x="1781175" y="541629600"/>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2029</xdr:row>
      <xdr:rowOff>0</xdr:rowOff>
    </xdr:from>
    <xdr:to>
      <xdr:col>2</xdr:col>
      <xdr:colOff>342900</xdr:colOff>
      <xdr:row>2029</xdr:row>
      <xdr:rowOff>0</xdr:rowOff>
    </xdr:to>
    <xdr:sp macro="" textlink="">
      <xdr:nvSpPr>
        <xdr:cNvPr id="47744" name="Text Box 274"/>
        <xdr:cNvSpPr txBox="1">
          <a:spLocks noChangeArrowheads="1"/>
        </xdr:cNvSpPr>
      </xdr:nvSpPr>
      <xdr:spPr bwMode="auto">
        <a:xfrm>
          <a:off x="1314450" y="859374075"/>
          <a:ext cx="257175" cy="0"/>
        </a:xfrm>
        <a:prstGeom prst="rect">
          <a:avLst/>
        </a:prstGeom>
        <a:solidFill>
          <a:srgbClr val="FFFFFF"/>
        </a:solidFill>
        <a:ln w="9525">
          <a:noFill/>
          <a:miter lim="800000"/>
          <a:headEnd/>
          <a:tailEnd/>
        </a:ln>
      </xdr:spPr>
    </xdr:sp>
    <xdr:clientData/>
  </xdr:twoCellAnchor>
  <xdr:twoCellAnchor>
    <xdr:from>
      <xdr:col>2</xdr:col>
      <xdr:colOff>85725</xdr:colOff>
      <xdr:row>2029</xdr:row>
      <xdr:rowOff>0</xdr:rowOff>
    </xdr:from>
    <xdr:to>
      <xdr:col>2</xdr:col>
      <xdr:colOff>342900</xdr:colOff>
      <xdr:row>2029</xdr:row>
      <xdr:rowOff>0</xdr:rowOff>
    </xdr:to>
    <xdr:sp macro="" textlink="">
      <xdr:nvSpPr>
        <xdr:cNvPr id="8467" name="Text Box 275"/>
        <xdr:cNvSpPr txBox="1">
          <a:spLocks noChangeArrowheads="1"/>
        </xdr:cNvSpPr>
      </xdr:nvSpPr>
      <xdr:spPr bwMode="auto">
        <a:xfrm>
          <a:off x="1495425" y="90553222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2029</xdr:row>
      <xdr:rowOff>0</xdr:rowOff>
    </xdr:from>
    <xdr:to>
      <xdr:col>2</xdr:col>
      <xdr:colOff>276225</xdr:colOff>
      <xdr:row>2029</xdr:row>
      <xdr:rowOff>0</xdr:rowOff>
    </xdr:to>
    <xdr:sp macro="" textlink="">
      <xdr:nvSpPr>
        <xdr:cNvPr id="8468" name="Text Box 276"/>
        <xdr:cNvSpPr txBox="1">
          <a:spLocks noChangeArrowheads="1"/>
        </xdr:cNvSpPr>
      </xdr:nvSpPr>
      <xdr:spPr bwMode="auto">
        <a:xfrm>
          <a:off x="1495425" y="90553222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2029</xdr:row>
      <xdr:rowOff>0</xdr:rowOff>
    </xdr:from>
    <xdr:to>
      <xdr:col>2</xdr:col>
      <xdr:colOff>342900</xdr:colOff>
      <xdr:row>2029</xdr:row>
      <xdr:rowOff>0</xdr:rowOff>
    </xdr:to>
    <xdr:sp macro="" textlink="">
      <xdr:nvSpPr>
        <xdr:cNvPr id="8469" name="Text Box 277"/>
        <xdr:cNvSpPr txBox="1">
          <a:spLocks noChangeArrowheads="1"/>
        </xdr:cNvSpPr>
      </xdr:nvSpPr>
      <xdr:spPr bwMode="auto">
        <a:xfrm>
          <a:off x="1495425" y="90553222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1938</xdr:row>
      <xdr:rowOff>0</xdr:rowOff>
    </xdr:from>
    <xdr:to>
      <xdr:col>2</xdr:col>
      <xdr:colOff>342900</xdr:colOff>
      <xdr:row>1938</xdr:row>
      <xdr:rowOff>0</xdr:rowOff>
    </xdr:to>
    <xdr:sp macro="" textlink="">
      <xdr:nvSpPr>
        <xdr:cNvPr id="47748" name="Text Box 278"/>
        <xdr:cNvSpPr txBox="1">
          <a:spLocks noChangeArrowheads="1"/>
        </xdr:cNvSpPr>
      </xdr:nvSpPr>
      <xdr:spPr bwMode="auto">
        <a:xfrm>
          <a:off x="1314450" y="862593525"/>
          <a:ext cx="257175" cy="0"/>
        </a:xfrm>
        <a:prstGeom prst="rect">
          <a:avLst/>
        </a:prstGeom>
        <a:solidFill>
          <a:srgbClr val="FFFFFF"/>
        </a:solidFill>
        <a:ln w="9525">
          <a:noFill/>
          <a:miter lim="800000"/>
          <a:headEnd/>
          <a:tailEnd/>
        </a:ln>
      </xdr:spPr>
    </xdr:sp>
    <xdr:clientData/>
  </xdr:twoCellAnchor>
  <xdr:twoCellAnchor>
    <xdr:from>
      <xdr:col>2</xdr:col>
      <xdr:colOff>85725</xdr:colOff>
      <xdr:row>1938</xdr:row>
      <xdr:rowOff>0</xdr:rowOff>
    </xdr:from>
    <xdr:to>
      <xdr:col>2</xdr:col>
      <xdr:colOff>342900</xdr:colOff>
      <xdr:row>1938</xdr:row>
      <xdr:rowOff>0</xdr:rowOff>
    </xdr:to>
    <xdr:sp macro="" textlink="">
      <xdr:nvSpPr>
        <xdr:cNvPr id="8471" name="Text Box 279"/>
        <xdr:cNvSpPr txBox="1">
          <a:spLocks noChangeArrowheads="1"/>
        </xdr:cNvSpPr>
      </xdr:nvSpPr>
      <xdr:spPr bwMode="auto">
        <a:xfrm>
          <a:off x="1495425" y="9089136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1938</xdr:row>
      <xdr:rowOff>0</xdr:rowOff>
    </xdr:from>
    <xdr:to>
      <xdr:col>2</xdr:col>
      <xdr:colOff>276225</xdr:colOff>
      <xdr:row>1938</xdr:row>
      <xdr:rowOff>0</xdr:rowOff>
    </xdr:to>
    <xdr:sp macro="" textlink="">
      <xdr:nvSpPr>
        <xdr:cNvPr id="8472" name="Text Box 280"/>
        <xdr:cNvSpPr txBox="1">
          <a:spLocks noChangeArrowheads="1"/>
        </xdr:cNvSpPr>
      </xdr:nvSpPr>
      <xdr:spPr bwMode="auto">
        <a:xfrm>
          <a:off x="1495425" y="908913600"/>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1938</xdr:row>
      <xdr:rowOff>0</xdr:rowOff>
    </xdr:from>
    <xdr:to>
      <xdr:col>2</xdr:col>
      <xdr:colOff>342900</xdr:colOff>
      <xdr:row>1938</xdr:row>
      <xdr:rowOff>0</xdr:rowOff>
    </xdr:to>
    <xdr:sp macro="" textlink="">
      <xdr:nvSpPr>
        <xdr:cNvPr id="8473" name="Text Box 281"/>
        <xdr:cNvSpPr txBox="1">
          <a:spLocks noChangeArrowheads="1"/>
        </xdr:cNvSpPr>
      </xdr:nvSpPr>
      <xdr:spPr bwMode="auto">
        <a:xfrm>
          <a:off x="1495425" y="9089136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171450</xdr:colOff>
      <xdr:row>3567</xdr:row>
      <xdr:rowOff>104775</xdr:rowOff>
    </xdr:from>
    <xdr:to>
      <xdr:col>2</xdr:col>
      <xdr:colOff>428625</xdr:colOff>
      <xdr:row>3568</xdr:row>
      <xdr:rowOff>57150</xdr:rowOff>
    </xdr:to>
    <xdr:sp macro="" textlink="">
      <xdr:nvSpPr>
        <xdr:cNvPr id="8478" name="Text Box 286"/>
        <xdr:cNvSpPr txBox="1">
          <a:spLocks noChangeArrowheads="1"/>
        </xdr:cNvSpPr>
      </xdr:nvSpPr>
      <xdr:spPr bwMode="auto">
        <a:xfrm>
          <a:off x="1466850" y="812453925"/>
          <a:ext cx="257175" cy="2000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200025</xdr:colOff>
      <xdr:row>3579</xdr:row>
      <xdr:rowOff>161925</xdr:rowOff>
    </xdr:from>
    <xdr:to>
      <xdr:col>2</xdr:col>
      <xdr:colOff>457200</xdr:colOff>
      <xdr:row>3580</xdr:row>
      <xdr:rowOff>104775</xdr:rowOff>
    </xdr:to>
    <xdr:sp macro="" textlink="">
      <xdr:nvSpPr>
        <xdr:cNvPr id="8480" name="Text Box 288"/>
        <xdr:cNvSpPr txBox="1">
          <a:spLocks noChangeArrowheads="1"/>
        </xdr:cNvSpPr>
      </xdr:nvSpPr>
      <xdr:spPr bwMode="auto">
        <a:xfrm>
          <a:off x="1495425" y="815082825"/>
          <a:ext cx="257175" cy="1905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219075</xdr:colOff>
      <xdr:row>3602</xdr:row>
      <xdr:rowOff>133350</xdr:rowOff>
    </xdr:from>
    <xdr:to>
      <xdr:col>2</xdr:col>
      <xdr:colOff>476250</xdr:colOff>
      <xdr:row>3603</xdr:row>
      <xdr:rowOff>9525</xdr:rowOff>
    </xdr:to>
    <xdr:sp macro="" textlink="">
      <xdr:nvSpPr>
        <xdr:cNvPr id="8481" name="Text Box 289"/>
        <xdr:cNvSpPr txBox="1">
          <a:spLocks noChangeArrowheads="1"/>
        </xdr:cNvSpPr>
      </xdr:nvSpPr>
      <xdr:spPr bwMode="auto">
        <a:xfrm>
          <a:off x="1514475" y="819816750"/>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447675</xdr:colOff>
      <xdr:row>3624</xdr:row>
      <xdr:rowOff>152400</xdr:rowOff>
    </xdr:from>
    <xdr:to>
      <xdr:col>2</xdr:col>
      <xdr:colOff>704850</xdr:colOff>
      <xdr:row>3625</xdr:row>
      <xdr:rowOff>47625</xdr:rowOff>
    </xdr:to>
    <xdr:sp macro="" textlink="">
      <xdr:nvSpPr>
        <xdr:cNvPr id="8486" name="Text Box 294"/>
        <xdr:cNvSpPr txBox="1">
          <a:spLocks noChangeArrowheads="1"/>
        </xdr:cNvSpPr>
      </xdr:nvSpPr>
      <xdr:spPr bwMode="auto">
        <a:xfrm>
          <a:off x="1743075" y="8247030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438150</xdr:colOff>
      <xdr:row>3612</xdr:row>
      <xdr:rowOff>152400</xdr:rowOff>
    </xdr:from>
    <xdr:to>
      <xdr:col>2</xdr:col>
      <xdr:colOff>628650</xdr:colOff>
      <xdr:row>3613</xdr:row>
      <xdr:rowOff>66675</xdr:rowOff>
    </xdr:to>
    <xdr:sp macro="" textlink="">
      <xdr:nvSpPr>
        <xdr:cNvPr id="8493" name="Text Box 301"/>
        <xdr:cNvSpPr txBox="1">
          <a:spLocks noChangeArrowheads="1"/>
        </xdr:cNvSpPr>
      </xdr:nvSpPr>
      <xdr:spPr bwMode="auto">
        <a:xfrm>
          <a:off x="1733550" y="822121800"/>
          <a:ext cx="190500"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1967</xdr:row>
      <xdr:rowOff>0</xdr:rowOff>
    </xdr:from>
    <xdr:to>
      <xdr:col>2</xdr:col>
      <xdr:colOff>342900</xdr:colOff>
      <xdr:row>1967</xdr:row>
      <xdr:rowOff>0</xdr:rowOff>
    </xdr:to>
    <xdr:sp macro="" textlink="">
      <xdr:nvSpPr>
        <xdr:cNvPr id="47775" name="Text Box 307"/>
        <xdr:cNvSpPr txBox="1">
          <a:spLocks noChangeArrowheads="1"/>
        </xdr:cNvSpPr>
      </xdr:nvSpPr>
      <xdr:spPr bwMode="auto">
        <a:xfrm>
          <a:off x="1314450" y="868908600"/>
          <a:ext cx="257175" cy="0"/>
        </a:xfrm>
        <a:prstGeom prst="rect">
          <a:avLst/>
        </a:prstGeom>
        <a:solidFill>
          <a:srgbClr val="FFFFFF"/>
        </a:solidFill>
        <a:ln w="9525">
          <a:noFill/>
          <a:miter lim="800000"/>
          <a:headEnd/>
          <a:tailEnd/>
        </a:ln>
      </xdr:spPr>
    </xdr:sp>
    <xdr:clientData/>
  </xdr:twoCellAnchor>
  <xdr:twoCellAnchor>
    <xdr:from>
      <xdr:col>2</xdr:col>
      <xdr:colOff>85725</xdr:colOff>
      <xdr:row>1967</xdr:row>
      <xdr:rowOff>0</xdr:rowOff>
    </xdr:from>
    <xdr:to>
      <xdr:col>2</xdr:col>
      <xdr:colOff>342900</xdr:colOff>
      <xdr:row>1967</xdr:row>
      <xdr:rowOff>0</xdr:rowOff>
    </xdr:to>
    <xdr:sp macro="" textlink="">
      <xdr:nvSpPr>
        <xdr:cNvPr id="8500" name="Text Box 308"/>
        <xdr:cNvSpPr txBox="1">
          <a:spLocks noChangeArrowheads="1"/>
        </xdr:cNvSpPr>
      </xdr:nvSpPr>
      <xdr:spPr bwMode="auto">
        <a:xfrm>
          <a:off x="1495425" y="91616212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1967</xdr:row>
      <xdr:rowOff>0</xdr:rowOff>
    </xdr:from>
    <xdr:to>
      <xdr:col>2</xdr:col>
      <xdr:colOff>276225</xdr:colOff>
      <xdr:row>1967</xdr:row>
      <xdr:rowOff>0</xdr:rowOff>
    </xdr:to>
    <xdr:sp macro="" textlink="">
      <xdr:nvSpPr>
        <xdr:cNvPr id="8501" name="Text Box 309"/>
        <xdr:cNvSpPr txBox="1">
          <a:spLocks noChangeArrowheads="1"/>
        </xdr:cNvSpPr>
      </xdr:nvSpPr>
      <xdr:spPr bwMode="auto">
        <a:xfrm>
          <a:off x="1495425" y="91616212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1967</xdr:row>
      <xdr:rowOff>0</xdr:rowOff>
    </xdr:from>
    <xdr:to>
      <xdr:col>2</xdr:col>
      <xdr:colOff>342900</xdr:colOff>
      <xdr:row>1967</xdr:row>
      <xdr:rowOff>0</xdr:rowOff>
    </xdr:to>
    <xdr:sp macro="" textlink="">
      <xdr:nvSpPr>
        <xdr:cNvPr id="8502" name="Text Box 310"/>
        <xdr:cNvSpPr txBox="1">
          <a:spLocks noChangeArrowheads="1"/>
        </xdr:cNvSpPr>
      </xdr:nvSpPr>
      <xdr:spPr bwMode="auto">
        <a:xfrm>
          <a:off x="1495425" y="91616212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1981</xdr:row>
      <xdr:rowOff>0</xdr:rowOff>
    </xdr:from>
    <xdr:to>
      <xdr:col>2</xdr:col>
      <xdr:colOff>342900</xdr:colOff>
      <xdr:row>1981</xdr:row>
      <xdr:rowOff>0</xdr:rowOff>
    </xdr:to>
    <xdr:sp macro="" textlink="">
      <xdr:nvSpPr>
        <xdr:cNvPr id="47779" name="Text Box 311"/>
        <xdr:cNvSpPr txBox="1">
          <a:spLocks noChangeArrowheads="1"/>
        </xdr:cNvSpPr>
      </xdr:nvSpPr>
      <xdr:spPr bwMode="auto">
        <a:xfrm>
          <a:off x="1314450" y="872385225"/>
          <a:ext cx="257175" cy="0"/>
        </a:xfrm>
        <a:prstGeom prst="rect">
          <a:avLst/>
        </a:prstGeom>
        <a:solidFill>
          <a:srgbClr val="FFFFFF"/>
        </a:solidFill>
        <a:ln w="9525">
          <a:noFill/>
          <a:miter lim="800000"/>
          <a:headEnd/>
          <a:tailEnd/>
        </a:ln>
      </xdr:spPr>
    </xdr:sp>
    <xdr:clientData/>
  </xdr:twoCellAnchor>
  <xdr:twoCellAnchor>
    <xdr:from>
      <xdr:col>2</xdr:col>
      <xdr:colOff>85725</xdr:colOff>
      <xdr:row>1981</xdr:row>
      <xdr:rowOff>0</xdr:rowOff>
    </xdr:from>
    <xdr:to>
      <xdr:col>2</xdr:col>
      <xdr:colOff>342900</xdr:colOff>
      <xdr:row>1981</xdr:row>
      <xdr:rowOff>0</xdr:rowOff>
    </xdr:to>
    <xdr:sp macro="" textlink="">
      <xdr:nvSpPr>
        <xdr:cNvPr id="8504" name="Text Box 312"/>
        <xdr:cNvSpPr txBox="1">
          <a:spLocks noChangeArrowheads="1"/>
        </xdr:cNvSpPr>
      </xdr:nvSpPr>
      <xdr:spPr bwMode="auto">
        <a:xfrm>
          <a:off x="1495425" y="9199816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1981</xdr:row>
      <xdr:rowOff>0</xdr:rowOff>
    </xdr:from>
    <xdr:to>
      <xdr:col>2</xdr:col>
      <xdr:colOff>276225</xdr:colOff>
      <xdr:row>1981</xdr:row>
      <xdr:rowOff>0</xdr:rowOff>
    </xdr:to>
    <xdr:sp macro="" textlink="">
      <xdr:nvSpPr>
        <xdr:cNvPr id="8505" name="Text Box 313"/>
        <xdr:cNvSpPr txBox="1">
          <a:spLocks noChangeArrowheads="1"/>
        </xdr:cNvSpPr>
      </xdr:nvSpPr>
      <xdr:spPr bwMode="auto">
        <a:xfrm>
          <a:off x="1495425" y="919981650"/>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1981</xdr:row>
      <xdr:rowOff>0</xdr:rowOff>
    </xdr:from>
    <xdr:to>
      <xdr:col>2</xdr:col>
      <xdr:colOff>342900</xdr:colOff>
      <xdr:row>1981</xdr:row>
      <xdr:rowOff>0</xdr:rowOff>
    </xdr:to>
    <xdr:sp macro="" textlink="">
      <xdr:nvSpPr>
        <xdr:cNvPr id="8506" name="Text Box 314"/>
        <xdr:cNvSpPr txBox="1">
          <a:spLocks noChangeArrowheads="1"/>
        </xdr:cNvSpPr>
      </xdr:nvSpPr>
      <xdr:spPr bwMode="auto">
        <a:xfrm>
          <a:off x="1495425" y="9199816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561975</xdr:colOff>
      <xdr:row>2735</xdr:row>
      <xdr:rowOff>142875</xdr:rowOff>
    </xdr:from>
    <xdr:to>
      <xdr:col>2</xdr:col>
      <xdr:colOff>819150</xdr:colOff>
      <xdr:row>2736</xdr:row>
      <xdr:rowOff>95250</xdr:rowOff>
    </xdr:to>
    <xdr:sp macro="" textlink="">
      <xdr:nvSpPr>
        <xdr:cNvPr id="8512" name="Text Box 320"/>
        <xdr:cNvSpPr txBox="1">
          <a:spLocks noChangeArrowheads="1"/>
        </xdr:cNvSpPr>
      </xdr:nvSpPr>
      <xdr:spPr bwMode="auto">
        <a:xfrm>
          <a:off x="1857375" y="622944525"/>
          <a:ext cx="257175"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400050</xdr:colOff>
      <xdr:row>2507</xdr:row>
      <xdr:rowOff>171450</xdr:rowOff>
    </xdr:from>
    <xdr:to>
      <xdr:col>2</xdr:col>
      <xdr:colOff>657225</xdr:colOff>
      <xdr:row>2508</xdr:row>
      <xdr:rowOff>76200</xdr:rowOff>
    </xdr:to>
    <xdr:sp macro="" textlink="">
      <xdr:nvSpPr>
        <xdr:cNvPr id="8513" name="Text Box 321"/>
        <xdr:cNvSpPr txBox="1">
          <a:spLocks noChangeArrowheads="1"/>
        </xdr:cNvSpPr>
      </xdr:nvSpPr>
      <xdr:spPr bwMode="auto">
        <a:xfrm>
          <a:off x="1695450" y="57155715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419100</xdr:colOff>
      <xdr:row>2524</xdr:row>
      <xdr:rowOff>180975</xdr:rowOff>
    </xdr:from>
    <xdr:to>
      <xdr:col>2</xdr:col>
      <xdr:colOff>676275</xdr:colOff>
      <xdr:row>2525</xdr:row>
      <xdr:rowOff>85725</xdr:rowOff>
    </xdr:to>
    <xdr:sp macro="" textlink="">
      <xdr:nvSpPr>
        <xdr:cNvPr id="8515" name="Text Box 323"/>
        <xdr:cNvSpPr txBox="1">
          <a:spLocks noChangeArrowheads="1"/>
        </xdr:cNvSpPr>
      </xdr:nvSpPr>
      <xdr:spPr bwMode="auto">
        <a:xfrm>
          <a:off x="1714500" y="5753100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390525</xdr:colOff>
      <xdr:row>2537</xdr:row>
      <xdr:rowOff>152400</xdr:rowOff>
    </xdr:from>
    <xdr:to>
      <xdr:col>2</xdr:col>
      <xdr:colOff>647700</xdr:colOff>
      <xdr:row>2538</xdr:row>
      <xdr:rowOff>57150</xdr:rowOff>
    </xdr:to>
    <xdr:sp macro="" textlink="">
      <xdr:nvSpPr>
        <xdr:cNvPr id="8516" name="Text Box 324"/>
        <xdr:cNvSpPr txBox="1">
          <a:spLocks noChangeArrowheads="1"/>
        </xdr:cNvSpPr>
      </xdr:nvSpPr>
      <xdr:spPr bwMode="auto">
        <a:xfrm>
          <a:off x="1704975" y="574614675"/>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4766</xdr:row>
      <xdr:rowOff>0</xdr:rowOff>
    </xdr:from>
    <xdr:to>
      <xdr:col>2</xdr:col>
      <xdr:colOff>342900</xdr:colOff>
      <xdr:row>4766</xdr:row>
      <xdr:rowOff>57150</xdr:rowOff>
    </xdr:to>
    <xdr:sp macro="" textlink="">
      <xdr:nvSpPr>
        <xdr:cNvPr id="8523" name="Text Box 331"/>
        <xdr:cNvSpPr txBox="1">
          <a:spLocks noChangeArrowheads="1"/>
        </xdr:cNvSpPr>
      </xdr:nvSpPr>
      <xdr:spPr bwMode="auto">
        <a:xfrm>
          <a:off x="1495425" y="10456449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4815</xdr:row>
      <xdr:rowOff>0</xdr:rowOff>
    </xdr:from>
    <xdr:to>
      <xdr:col>2</xdr:col>
      <xdr:colOff>342900</xdr:colOff>
      <xdr:row>4815</xdr:row>
      <xdr:rowOff>0</xdr:rowOff>
    </xdr:to>
    <xdr:sp macro="" textlink="">
      <xdr:nvSpPr>
        <xdr:cNvPr id="47847" name="Text Box 381"/>
        <xdr:cNvSpPr txBox="1">
          <a:spLocks noChangeArrowheads="1"/>
        </xdr:cNvSpPr>
      </xdr:nvSpPr>
      <xdr:spPr bwMode="auto">
        <a:xfrm>
          <a:off x="1314450" y="1047226125"/>
          <a:ext cx="257175" cy="0"/>
        </a:xfrm>
        <a:prstGeom prst="rect">
          <a:avLst/>
        </a:prstGeom>
        <a:solidFill>
          <a:srgbClr val="FFFFFF"/>
        </a:solidFill>
        <a:ln w="9525">
          <a:noFill/>
          <a:miter lim="800000"/>
          <a:headEnd/>
          <a:tailEnd/>
        </a:ln>
      </xdr:spPr>
    </xdr:sp>
    <xdr:clientData/>
  </xdr:twoCellAnchor>
  <xdr:twoCellAnchor>
    <xdr:from>
      <xdr:col>2</xdr:col>
      <xdr:colOff>85725</xdr:colOff>
      <xdr:row>4815</xdr:row>
      <xdr:rowOff>0</xdr:rowOff>
    </xdr:from>
    <xdr:to>
      <xdr:col>2</xdr:col>
      <xdr:colOff>342900</xdr:colOff>
      <xdr:row>4815</xdr:row>
      <xdr:rowOff>0</xdr:rowOff>
    </xdr:to>
    <xdr:sp macro="" textlink="">
      <xdr:nvSpPr>
        <xdr:cNvPr id="8574" name="Text Box 382"/>
        <xdr:cNvSpPr txBox="1">
          <a:spLocks noChangeArrowheads="1"/>
        </xdr:cNvSpPr>
      </xdr:nvSpPr>
      <xdr:spPr bwMode="auto">
        <a:xfrm>
          <a:off x="1495425" y="11062716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4815</xdr:row>
      <xdr:rowOff>0</xdr:rowOff>
    </xdr:from>
    <xdr:to>
      <xdr:col>2</xdr:col>
      <xdr:colOff>276225</xdr:colOff>
      <xdr:row>4815</xdr:row>
      <xdr:rowOff>0</xdr:rowOff>
    </xdr:to>
    <xdr:sp macro="" textlink="">
      <xdr:nvSpPr>
        <xdr:cNvPr id="8575" name="Text Box 383"/>
        <xdr:cNvSpPr txBox="1">
          <a:spLocks noChangeArrowheads="1"/>
        </xdr:cNvSpPr>
      </xdr:nvSpPr>
      <xdr:spPr bwMode="auto">
        <a:xfrm>
          <a:off x="1495425" y="1106271600"/>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4815</xdr:row>
      <xdr:rowOff>0</xdr:rowOff>
    </xdr:from>
    <xdr:to>
      <xdr:col>2</xdr:col>
      <xdr:colOff>342900</xdr:colOff>
      <xdr:row>4815</xdr:row>
      <xdr:rowOff>0</xdr:rowOff>
    </xdr:to>
    <xdr:sp macro="" textlink="">
      <xdr:nvSpPr>
        <xdr:cNvPr id="8576" name="Text Box 384"/>
        <xdr:cNvSpPr txBox="1">
          <a:spLocks noChangeArrowheads="1"/>
        </xdr:cNvSpPr>
      </xdr:nvSpPr>
      <xdr:spPr bwMode="auto">
        <a:xfrm>
          <a:off x="1495425" y="11062716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5230</xdr:row>
      <xdr:rowOff>0</xdr:rowOff>
    </xdr:from>
    <xdr:to>
      <xdr:col>2</xdr:col>
      <xdr:colOff>342900</xdr:colOff>
      <xdr:row>5230</xdr:row>
      <xdr:rowOff>0</xdr:rowOff>
    </xdr:to>
    <xdr:sp macro="" textlink="">
      <xdr:nvSpPr>
        <xdr:cNvPr id="47883" name="Text Box 381"/>
        <xdr:cNvSpPr txBox="1">
          <a:spLocks noChangeArrowheads="1"/>
        </xdr:cNvSpPr>
      </xdr:nvSpPr>
      <xdr:spPr bwMode="auto">
        <a:xfrm>
          <a:off x="1314450" y="1080535050"/>
          <a:ext cx="257175" cy="0"/>
        </a:xfrm>
        <a:prstGeom prst="rect">
          <a:avLst/>
        </a:prstGeom>
        <a:solidFill>
          <a:srgbClr val="FFFFFF"/>
        </a:solidFill>
        <a:ln w="9525">
          <a:noFill/>
          <a:miter lim="800000"/>
          <a:headEnd/>
          <a:tailEnd/>
        </a:ln>
      </xdr:spPr>
    </xdr:sp>
    <xdr:clientData/>
  </xdr:twoCellAnchor>
  <xdr:twoCellAnchor>
    <xdr:from>
      <xdr:col>2</xdr:col>
      <xdr:colOff>85725</xdr:colOff>
      <xdr:row>5230</xdr:row>
      <xdr:rowOff>0</xdr:rowOff>
    </xdr:from>
    <xdr:to>
      <xdr:col>2</xdr:col>
      <xdr:colOff>342900</xdr:colOff>
      <xdr:row>5230</xdr:row>
      <xdr:rowOff>0</xdr:rowOff>
    </xdr:to>
    <xdr:sp macro="" textlink="">
      <xdr:nvSpPr>
        <xdr:cNvPr id="26" name="Text Box 382"/>
        <xdr:cNvSpPr txBox="1">
          <a:spLocks noChangeArrowheads="1"/>
        </xdr:cNvSpPr>
      </xdr:nvSpPr>
      <xdr:spPr bwMode="auto">
        <a:xfrm>
          <a:off x="1495425" y="11062716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5230</xdr:row>
      <xdr:rowOff>0</xdr:rowOff>
    </xdr:from>
    <xdr:to>
      <xdr:col>2</xdr:col>
      <xdr:colOff>276225</xdr:colOff>
      <xdr:row>5230</xdr:row>
      <xdr:rowOff>0</xdr:rowOff>
    </xdr:to>
    <xdr:sp macro="" textlink="">
      <xdr:nvSpPr>
        <xdr:cNvPr id="27" name="Text Box 383"/>
        <xdr:cNvSpPr txBox="1">
          <a:spLocks noChangeArrowheads="1"/>
        </xdr:cNvSpPr>
      </xdr:nvSpPr>
      <xdr:spPr bwMode="auto">
        <a:xfrm>
          <a:off x="1495425" y="1106271600"/>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5230</xdr:row>
      <xdr:rowOff>0</xdr:rowOff>
    </xdr:from>
    <xdr:to>
      <xdr:col>2</xdr:col>
      <xdr:colOff>342900</xdr:colOff>
      <xdr:row>5230</xdr:row>
      <xdr:rowOff>0</xdr:rowOff>
    </xdr:to>
    <xdr:sp macro="" textlink="">
      <xdr:nvSpPr>
        <xdr:cNvPr id="28" name="Text Box 384"/>
        <xdr:cNvSpPr txBox="1">
          <a:spLocks noChangeArrowheads="1"/>
        </xdr:cNvSpPr>
      </xdr:nvSpPr>
      <xdr:spPr bwMode="auto">
        <a:xfrm>
          <a:off x="1495425" y="11062716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5247</xdr:row>
      <xdr:rowOff>0</xdr:rowOff>
    </xdr:from>
    <xdr:to>
      <xdr:col>2</xdr:col>
      <xdr:colOff>342900</xdr:colOff>
      <xdr:row>5247</xdr:row>
      <xdr:rowOff>0</xdr:rowOff>
    </xdr:to>
    <xdr:sp macro="" textlink="">
      <xdr:nvSpPr>
        <xdr:cNvPr id="47887" name="Text Box 381"/>
        <xdr:cNvSpPr txBox="1">
          <a:spLocks noChangeArrowheads="1"/>
        </xdr:cNvSpPr>
      </xdr:nvSpPr>
      <xdr:spPr bwMode="auto">
        <a:xfrm>
          <a:off x="1314450" y="1084087875"/>
          <a:ext cx="257175" cy="0"/>
        </a:xfrm>
        <a:prstGeom prst="rect">
          <a:avLst/>
        </a:prstGeom>
        <a:solidFill>
          <a:srgbClr val="FFFFFF"/>
        </a:solidFill>
        <a:ln w="9525">
          <a:noFill/>
          <a:miter lim="800000"/>
          <a:headEnd/>
          <a:tailEnd/>
        </a:ln>
      </xdr:spPr>
    </xdr:sp>
    <xdr:clientData/>
  </xdr:twoCellAnchor>
  <xdr:twoCellAnchor>
    <xdr:from>
      <xdr:col>2</xdr:col>
      <xdr:colOff>85725</xdr:colOff>
      <xdr:row>5247</xdr:row>
      <xdr:rowOff>0</xdr:rowOff>
    </xdr:from>
    <xdr:to>
      <xdr:col>2</xdr:col>
      <xdr:colOff>342900</xdr:colOff>
      <xdr:row>5247</xdr:row>
      <xdr:rowOff>0</xdr:rowOff>
    </xdr:to>
    <xdr:sp macro="" textlink="">
      <xdr:nvSpPr>
        <xdr:cNvPr id="29" name="Text Box 382"/>
        <xdr:cNvSpPr txBox="1">
          <a:spLocks noChangeArrowheads="1"/>
        </xdr:cNvSpPr>
      </xdr:nvSpPr>
      <xdr:spPr bwMode="auto">
        <a:xfrm>
          <a:off x="1495425" y="11062716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5247</xdr:row>
      <xdr:rowOff>0</xdr:rowOff>
    </xdr:from>
    <xdr:to>
      <xdr:col>2</xdr:col>
      <xdr:colOff>276225</xdr:colOff>
      <xdr:row>5247</xdr:row>
      <xdr:rowOff>0</xdr:rowOff>
    </xdr:to>
    <xdr:sp macro="" textlink="">
      <xdr:nvSpPr>
        <xdr:cNvPr id="30" name="Text Box 383"/>
        <xdr:cNvSpPr txBox="1">
          <a:spLocks noChangeArrowheads="1"/>
        </xdr:cNvSpPr>
      </xdr:nvSpPr>
      <xdr:spPr bwMode="auto">
        <a:xfrm>
          <a:off x="1495425" y="1106271600"/>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5247</xdr:row>
      <xdr:rowOff>0</xdr:rowOff>
    </xdr:from>
    <xdr:to>
      <xdr:col>2</xdr:col>
      <xdr:colOff>342900</xdr:colOff>
      <xdr:row>5247</xdr:row>
      <xdr:rowOff>0</xdr:rowOff>
    </xdr:to>
    <xdr:sp macro="" textlink="">
      <xdr:nvSpPr>
        <xdr:cNvPr id="31" name="Text Box 384"/>
        <xdr:cNvSpPr txBox="1">
          <a:spLocks noChangeArrowheads="1"/>
        </xdr:cNvSpPr>
      </xdr:nvSpPr>
      <xdr:spPr bwMode="auto">
        <a:xfrm>
          <a:off x="1495425" y="11062716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5264</xdr:row>
      <xdr:rowOff>0</xdr:rowOff>
    </xdr:from>
    <xdr:to>
      <xdr:col>2</xdr:col>
      <xdr:colOff>342900</xdr:colOff>
      <xdr:row>5264</xdr:row>
      <xdr:rowOff>0</xdr:rowOff>
    </xdr:to>
    <xdr:sp macro="" textlink="">
      <xdr:nvSpPr>
        <xdr:cNvPr id="47891" name="Text Box 381"/>
        <xdr:cNvSpPr txBox="1">
          <a:spLocks noChangeArrowheads="1"/>
        </xdr:cNvSpPr>
      </xdr:nvSpPr>
      <xdr:spPr bwMode="auto">
        <a:xfrm>
          <a:off x="1314450" y="1087774050"/>
          <a:ext cx="257175" cy="0"/>
        </a:xfrm>
        <a:prstGeom prst="rect">
          <a:avLst/>
        </a:prstGeom>
        <a:solidFill>
          <a:srgbClr val="FFFFFF"/>
        </a:solidFill>
        <a:ln w="9525">
          <a:noFill/>
          <a:miter lim="800000"/>
          <a:headEnd/>
          <a:tailEnd/>
        </a:ln>
      </xdr:spPr>
    </xdr:sp>
    <xdr:clientData/>
  </xdr:twoCellAnchor>
  <xdr:twoCellAnchor>
    <xdr:from>
      <xdr:col>2</xdr:col>
      <xdr:colOff>85725</xdr:colOff>
      <xdr:row>5264</xdr:row>
      <xdr:rowOff>0</xdr:rowOff>
    </xdr:from>
    <xdr:to>
      <xdr:col>2</xdr:col>
      <xdr:colOff>342900</xdr:colOff>
      <xdr:row>5264</xdr:row>
      <xdr:rowOff>0</xdr:rowOff>
    </xdr:to>
    <xdr:sp macro="" textlink="">
      <xdr:nvSpPr>
        <xdr:cNvPr id="15457" name="Text Box 382"/>
        <xdr:cNvSpPr txBox="1">
          <a:spLocks noChangeArrowheads="1"/>
        </xdr:cNvSpPr>
      </xdr:nvSpPr>
      <xdr:spPr bwMode="auto">
        <a:xfrm>
          <a:off x="1495425" y="11062716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5264</xdr:row>
      <xdr:rowOff>0</xdr:rowOff>
    </xdr:from>
    <xdr:to>
      <xdr:col>2</xdr:col>
      <xdr:colOff>276225</xdr:colOff>
      <xdr:row>5264</xdr:row>
      <xdr:rowOff>0</xdr:rowOff>
    </xdr:to>
    <xdr:sp macro="" textlink="">
      <xdr:nvSpPr>
        <xdr:cNvPr id="15458" name="Text Box 383"/>
        <xdr:cNvSpPr txBox="1">
          <a:spLocks noChangeArrowheads="1"/>
        </xdr:cNvSpPr>
      </xdr:nvSpPr>
      <xdr:spPr bwMode="auto">
        <a:xfrm>
          <a:off x="1495425" y="1106271600"/>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5264</xdr:row>
      <xdr:rowOff>0</xdr:rowOff>
    </xdr:from>
    <xdr:to>
      <xdr:col>2</xdr:col>
      <xdr:colOff>342900</xdr:colOff>
      <xdr:row>5264</xdr:row>
      <xdr:rowOff>0</xdr:rowOff>
    </xdr:to>
    <xdr:sp macro="" textlink="">
      <xdr:nvSpPr>
        <xdr:cNvPr id="15459" name="Text Box 384"/>
        <xdr:cNvSpPr txBox="1">
          <a:spLocks noChangeArrowheads="1"/>
        </xdr:cNvSpPr>
      </xdr:nvSpPr>
      <xdr:spPr bwMode="auto">
        <a:xfrm>
          <a:off x="1495425" y="110627160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editAs="oneCell">
    <xdr:from>
      <xdr:col>4</xdr:col>
      <xdr:colOff>352425</xdr:colOff>
      <xdr:row>5294</xdr:row>
      <xdr:rowOff>200025</xdr:rowOff>
    </xdr:from>
    <xdr:to>
      <xdr:col>4</xdr:col>
      <xdr:colOff>466725</xdr:colOff>
      <xdr:row>5295</xdr:row>
      <xdr:rowOff>114301</xdr:rowOff>
    </xdr:to>
    <xdr:pic>
      <xdr:nvPicPr>
        <xdr:cNvPr id="47897" name="Picture 2170" descr="BD21504_"/>
        <xdr:cNvPicPr>
          <a:picLocks noChangeAspect="1" noChangeArrowheads="1"/>
        </xdr:cNvPicPr>
      </xdr:nvPicPr>
      <xdr:blipFill>
        <a:blip xmlns:r="http://schemas.openxmlformats.org/officeDocument/2006/relationships" r:embed="rId1"/>
        <a:srcRect/>
        <a:stretch>
          <a:fillRect/>
        </a:stretch>
      </xdr:blipFill>
      <xdr:spPr bwMode="auto">
        <a:xfrm>
          <a:off x="4210050" y="1095222600"/>
          <a:ext cx="114300" cy="114300"/>
        </a:xfrm>
        <a:prstGeom prst="rect">
          <a:avLst/>
        </a:prstGeom>
        <a:noFill/>
        <a:ln w="9525">
          <a:noFill/>
          <a:miter lim="800000"/>
          <a:headEnd/>
          <a:tailEnd/>
        </a:ln>
      </xdr:spPr>
    </xdr:pic>
    <xdr:clientData/>
  </xdr:twoCellAnchor>
  <xdr:twoCellAnchor editAs="oneCell">
    <xdr:from>
      <xdr:col>3</xdr:col>
      <xdr:colOff>209550</xdr:colOff>
      <xdr:row>5294</xdr:row>
      <xdr:rowOff>161925</xdr:rowOff>
    </xdr:from>
    <xdr:to>
      <xdr:col>3</xdr:col>
      <xdr:colOff>323850</xdr:colOff>
      <xdr:row>5295</xdr:row>
      <xdr:rowOff>85726</xdr:rowOff>
    </xdr:to>
    <xdr:pic>
      <xdr:nvPicPr>
        <xdr:cNvPr id="47898" name="Picture 2171" descr="BD21504_"/>
        <xdr:cNvPicPr>
          <a:picLocks noChangeAspect="1" noChangeArrowheads="1"/>
        </xdr:cNvPicPr>
      </xdr:nvPicPr>
      <xdr:blipFill>
        <a:blip xmlns:r="http://schemas.openxmlformats.org/officeDocument/2006/relationships" r:embed="rId1"/>
        <a:srcRect/>
        <a:stretch>
          <a:fillRect/>
        </a:stretch>
      </xdr:blipFill>
      <xdr:spPr bwMode="auto">
        <a:xfrm>
          <a:off x="3238500" y="1095184500"/>
          <a:ext cx="114300" cy="114300"/>
        </a:xfrm>
        <a:prstGeom prst="rect">
          <a:avLst/>
        </a:prstGeom>
        <a:noFill/>
        <a:ln w="9525">
          <a:noFill/>
          <a:miter lim="800000"/>
          <a:headEnd/>
          <a:tailEnd/>
        </a:ln>
      </xdr:spPr>
    </xdr:pic>
    <xdr:clientData/>
  </xdr:twoCellAnchor>
  <xdr:twoCellAnchor>
    <xdr:from>
      <xdr:col>2</xdr:col>
      <xdr:colOff>95250</xdr:colOff>
      <xdr:row>720</xdr:row>
      <xdr:rowOff>152400</xdr:rowOff>
    </xdr:from>
    <xdr:to>
      <xdr:col>2</xdr:col>
      <xdr:colOff>361950</xdr:colOff>
      <xdr:row>721</xdr:row>
      <xdr:rowOff>95250</xdr:rowOff>
    </xdr:to>
    <xdr:sp macro="" textlink="">
      <xdr:nvSpPr>
        <xdr:cNvPr id="400" name="Text Box 12"/>
        <xdr:cNvSpPr txBox="1">
          <a:spLocks noChangeArrowheads="1"/>
        </xdr:cNvSpPr>
      </xdr:nvSpPr>
      <xdr:spPr bwMode="auto">
        <a:xfrm>
          <a:off x="1323975" y="152561925"/>
          <a:ext cx="266700"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xdr:txBody>
    </xdr:sp>
    <xdr:clientData/>
  </xdr:twoCellAnchor>
  <xdr:twoCellAnchor editAs="oneCell">
    <xdr:from>
      <xdr:col>2</xdr:col>
      <xdr:colOff>0</xdr:colOff>
      <xdr:row>980</xdr:row>
      <xdr:rowOff>0</xdr:rowOff>
    </xdr:from>
    <xdr:to>
      <xdr:col>2</xdr:col>
      <xdr:colOff>76200</xdr:colOff>
      <xdr:row>980</xdr:row>
      <xdr:rowOff>180975</xdr:rowOff>
    </xdr:to>
    <xdr:sp macro="" textlink="">
      <xdr:nvSpPr>
        <xdr:cNvPr id="401" name="Text Box 5"/>
        <xdr:cNvSpPr txBox="1">
          <a:spLocks noChangeArrowheads="1"/>
        </xdr:cNvSpPr>
      </xdr:nvSpPr>
      <xdr:spPr bwMode="auto">
        <a:xfrm>
          <a:off x="1228725" y="169621200"/>
          <a:ext cx="76200" cy="180975"/>
        </a:xfrm>
        <a:prstGeom prst="rect">
          <a:avLst/>
        </a:prstGeom>
        <a:noFill/>
        <a:ln w="9525">
          <a:noFill/>
          <a:miter lim="800000"/>
          <a:headEnd/>
          <a:tailEnd/>
        </a:ln>
      </xdr:spPr>
    </xdr:sp>
    <xdr:clientData/>
  </xdr:twoCellAnchor>
  <xdr:twoCellAnchor>
    <xdr:from>
      <xdr:col>2</xdr:col>
      <xdr:colOff>85725</xdr:colOff>
      <xdr:row>1203</xdr:row>
      <xdr:rowOff>161925</xdr:rowOff>
    </xdr:from>
    <xdr:to>
      <xdr:col>2</xdr:col>
      <xdr:colOff>342900</xdr:colOff>
      <xdr:row>1204</xdr:row>
      <xdr:rowOff>114300</xdr:rowOff>
    </xdr:to>
    <xdr:sp macro="" textlink="">
      <xdr:nvSpPr>
        <xdr:cNvPr id="402" name="Text Box 218"/>
        <xdr:cNvSpPr txBox="1">
          <a:spLocks noChangeArrowheads="1"/>
        </xdr:cNvSpPr>
      </xdr:nvSpPr>
      <xdr:spPr bwMode="auto">
        <a:xfrm>
          <a:off x="1314450" y="260394450"/>
          <a:ext cx="257175" cy="2000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1232</xdr:row>
      <xdr:rowOff>114300</xdr:rowOff>
    </xdr:from>
    <xdr:to>
      <xdr:col>2</xdr:col>
      <xdr:colOff>361950</xdr:colOff>
      <xdr:row>1233</xdr:row>
      <xdr:rowOff>47625</xdr:rowOff>
    </xdr:to>
    <xdr:sp macro="" textlink="">
      <xdr:nvSpPr>
        <xdr:cNvPr id="403" name="Text Box 219"/>
        <xdr:cNvSpPr txBox="1">
          <a:spLocks noChangeArrowheads="1"/>
        </xdr:cNvSpPr>
      </xdr:nvSpPr>
      <xdr:spPr bwMode="auto">
        <a:xfrm>
          <a:off x="1333500" y="28294965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1235</xdr:row>
      <xdr:rowOff>114300</xdr:rowOff>
    </xdr:from>
    <xdr:to>
      <xdr:col>2</xdr:col>
      <xdr:colOff>361950</xdr:colOff>
      <xdr:row>1236</xdr:row>
      <xdr:rowOff>57150</xdr:rowOff>
    </xdr:to>
    <xdr:sp macro="" textlink="">
      <xdr:nvSpPr>
        <xdr:cNvPr id="404" name="Text Box 225"/>
        <xdr:cNvSpPr txBox="1">
          <a:spLocks noChangeArrowheads="1"/>
        </xdr:cNvSpPr>
      </xdr:nvSpPr>
      <xdr:spPr bwMode="auto">
        <a:xfrm>
          <a:off x="1333500" y="2835783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1232</xdr:row>
      <xdr:rowOff>114300</xdr:rowOff>
    </xdr:from>
    <xdr:to>
      <xdr:col>2</xdr:col>
      <xdr:colOff>361950</xdr:colOff>
      <xdr:row>1233</xdr:row>
      <xdr:rowOff>47625</xdr:rowOff>
    </xdr:to>
    <xdr:sp macro="" textlink="">
      <xdr:nvSpPr>
        <xdr:cNvPr id="405" name="Text Box 232"/>
        <xdr:cNvSpPr txBox="1">
          <a:spLocks noChangeArrowheads="1"/>
        </xdr:cNvSpPr>
      </xdr:nvSpPr>
      <xdr:spPr bwMode="auto">
        <a:xfrm>
          <a:off x="1333500" y="28294965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1250</xdr:row>
      <xdr:rowOff>114300</xdr:rowOff>
    </xdr:from>
    <xdr:to>
      <xdr:col>2</xdr:col>
      <xdr:colOff>361950</xdr:colOff>
      <xdr:row>1251</xdr:row>
      <xdr:rowOff>47625</xdr:rowOff>
    </xdr:to>
    <xdr:sp macro="" textlink="">
      <xdr:nvSpPr>
        <xdr:cNvPr id="406" name="Text Box 219"/>
        <xdr:cNvSpPr txBox="1">
          <a:spLocks noChangeArrowheads="1"/>
        </xdr:cNvSpPr>
      </xdr:nvSpPr>
      <xdr:spPr bwMode="auto">
        <a:xfrm>
          <a:off x="1333500" y="26995755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1253</xdr:row>
      <xdr:rowOff>114300</xdr:rowOff>
    </xdr:from>
    <xdr:to>
      <xdr:col>2</xdr:col>
      <xdr:colOff>361950</xdr:colOff>
      <xdr:row>1254</xdr:row>
      <xdr:rowOff>57150</xdr:rowOff>
    </xdr:to>
    <xdr:sp macro="" textlink="">
      <xdr:nvSpPr>
        <xdr:cNvPr id="407" name="Text Box 225"/>
        <xdr:cNvSpPr txBox="1">
          <a:spLocks noChangeArrowheads="1"/>
        </xdr:cNvSpPr>
      </xdr:nvSpPr>
      <xdr:spPr bwMode="auto">
        <a:xfrm>
          <a:off x="1333500" y="2705862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1250</xdr:row>
      <xdr:rowOff>114300</xdr:rowOff>
    </xdr:from>
    <xdr:to>
      <xdr:col>2</xdr:col>
      <xdr:colOff>361950</xdr:colOff>
      <xdr:row>1251</xdr:row>
      <xdr:rowOff>47625</xdr:rowOff>
    </xdr:to>
    <xdr:sp macro="" textlink="">
      <xdr:nvSpPr>
        <xdr:cNvPr id="408" name="Text Box 232"/>
        <xdr:cNvSpPr txBox="1">
          <a:spLocks noChangeArrowheads="1"/>
        </xdr:cNvSpPr>
      </xdr:nvSpPr>
      <xdr:spPr bwMode="auto">
        <a:xfrm>
          <a:off x="1333500" y="26995755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1375</xdr:row>
      <xdr:rowOff>114300</xdr:rowOff>
    </xdr:from>
    <xdr:to>
      <xdr:col>2</xdr:col>
      <xdr:colOff>361950</xdr:colOff>
      <xdr:row>1376</xdr:row>
      <xdr:rowOff>57150</xdr:rowOff>
    </xdr:to>
    <xdr:sp macro="" textlink="">
      <xdr:nvSpPr>
        <xdr:cNvPr id="410" name="Text Box 225"/>
        <xdr:cNvSpPr txBox="1">
          <a:spLocks noChangeArrowheads="1"/>
        </xdr:cNvSpPr>
      </xdr:nvSpPr>
      <xdr:spPr bwMode="auto">
        <a:xfrm>
          <a:off x="1333500" y="29532262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400050</xdr:colOff>
      <xdr:row>1702</xdr:row>
      <xdr:rowOff>161925</xdr:rowOff>
    </xdr:from>
    <xdr:to>
      <xdr:col>2</xdr:col>
      <xdr:colOff>657225</xdr:colOff>
      <xdr:row>1703</xdr:row>
      <xdr:rowOff>76200</xdr:rowOff>
    </xdr:to>
    <xdr:sp macro="" textlink="">
      <xdr:nvSpPr>
        <xdr:cNvPr id="412" name="Text Box 25"/>
        <xdr:cNvSpPr txBox="1">
          <a:spLocks noChangeArrowheads="1"/>
        </xdr:cNvSpPr>
      </xdr:nvSpPr>
      <xdr:spPr bwMode="auto">
        <a:xfrm>
          <a:off x="1657350" y="366988725"/>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428625</xdr:colOff>
      <xdr:row>2300</xdr:row>
      <xdr:rowOff>123825</xdr:rowOff>
    </xdr:from>
    <xdr:to>
      <xdr:col>2</xdr:col>
      <xdr:colOff>685800</xdr:colOff>
      <xdr:row>2301</xdr:row>
      <xdr:rowOff>38100</xdr:rowOff>
    </xdr:to>
    <xdr:sp macro="" textlink="">
      <xdr:nvSpPr>
        <xdr:cNvPr id="421" name="Text Box 41"/>
        <xdr:cNvSpPr txBox="1">
          <a:spLocks noChangeArrowheads="1"/>
        </xdr:cNvSpPr>
      </xdr:nvSpPr>
      <xdr:spPr bwMode="auto">
        <a:xfrm>
          <a:off x="1743075" y="52606575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390525</xdr:colOff>
      <xdr:row>2572</xdr:row>
      <xdr:rowOff>152400</xdr:rowOff>
    </xdr:from>
    <xdr:to>
      <xdr:col>2</xdr:col>
      <xdr:colOff>647700</xdr:colOff>
      <xdr:row>2573</xdr:row>
      <xdr:rowOff>57150</xdr:rowOff>
    </xdr:to>
    <xdr:sp macro="" textlink="">
      <xdr:nvSpPr>
        <xdr:cNvPr id="422" name="Text Box 324"/>
        <xdr:cNvSpPr txBox="1">
          <a:spLocks noChangeArrowheads="1"/>
        </xdr:cNvSpPr>
      </xdr:nvSpPr>
      <xdr:spPr bwMode="auto">
        <a:xfrm>
          <a:off x="1685925" y="578424675"/>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390525</xdr:colOff>
      <xdr:row>2587</xdr:row>
      <xdr:rowOff>152400</xdr:rowOff>
    </xdr:from>
    <xdr:to>
      <xdr:col>2</xdr:col>
      <xdr:colOff>647700</xdr:colOff>
      <xdr:row>2588</xdr:row>
      <xdr:rowOff>57150</xdr:rowOff>
    </xdr:to>
    <xdr:sp macro="" textlink="">
      <xdr:nvSpPr>
        <xdr:cNvPr id="423" name="Text Box 324"/>
        <xdr:cNvSpPr txBox="1">
          <a:spLocks noChangeArrowheads="1"/>
        </xdr:cNvSpPr>
      </xdr:nvSpPr>
      <xdr:spPr bwMode="auto">
        <a:xfrm>
          <a:off x="1685925" y="586178025"/>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390525</xdr:colOff>
      <xdr:row>2597</xdr:row>
      <xdr:rowOff>152400</xdr:rowOff>
    </xdr:from>
    <xdr:to>
      <xdr:col>2</xdr:col>
      <xdr:colOff>647700</xdr:colOff>
      <xdr:row>2598</xdr:row>
      <xdr:rowOff>57150</xdr:rowOff>
    </xdr:to>
    <xdr:sp macro="" textlink="">
      <xdr:nvSpPr>
        <xdr:cNvPr id="424" name="Text Box 324"/>
        <xdr:cNvSpPr txBox="1">
          <a:spLocks noChangeArrowheads="1"/>
        </xdr:cNvSpPr>
      </xdr:nvSpPr>
      <xdr:spPr bwMode="auto">
        <a:xfrm>
          <a:off x="1685925" y="589654650"/>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390525</xdr:colOff>
      <xdr:row>2649</xdr:row>
      <xdr:rowOff>152400</xdr:rowOff>
    </xdr:from>
    <xdr:to>
      <xdr:col>2</xdr:col>
      <xdr:colOff>647700</xdr:colOff>
      <xdr:row>2650</xdr:row>
      <xdr:rowOff>57150</xdr:rowOff>
    </xdr:to>
    <xdr:sp macro="" textlink="">
      <xdr:nvSpPr>
        <xdr:cNvPr id="425" name="Text Box 324"/>
        <xdr:cNvSpPr txBox="1">
          <a:spLocks noChangeArrowheads="1"/>
        </xdr:cNvSpPr>
      </xdr:nvSpPr>
      <xdr:spPr bwMode="auto">
        <a:xfrm>
          <a:off x="1685925" y="592054950"/>
          <a:ext cx="25717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390525</xdr:colOff>
      <xdr:row>2661</xdr:row>
      <xdr:rowOff>152400</xdr:rowOff>
    </xdr:from>
    <xdr:to>
      <xdr:col>2</xdr:col>
      <xdr:colOff>647700</xdr:colOff>
      <xdr:row>2662</xdr:row>
      <xdr:rowOff>57150</xdr:rowOff>
    </xdr:to>
    <xdr:sp macro="" textlink="">
      <xdr:nvSpPr>
        <xdr:cNvPr id="426" name="Text Box 324"/>
        <xdr:cNvSpPr txBox="1">
          <a:spLocks noChangeArrowheads="1"/>
        </xdr:cNvSpPr>
      </xdr:nvSpPr>
      <xdr:spPr bwMode="auto">
        <a:xfrm>
          <a:off x="1685925" y="603627825"/>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514350</xdr:colOff>
      <xdr:row>3370</xdr:row>
      <xdr:rowOff>19050</xdr:rowOff>
    </xdr:from>
    <xdr:to>
      <xdr:col>2</xdr:col>
      <xdr:colOff>771525</xdr:colOff>
      <xdr:row>3370</xdr:row>
      <xdr:rowOff>180975</xdr:rowOff>
    </xdr:to>
    <xdr:sp macro="" textlink="">
      <xdr:nvSpPr>
        <xdr:cNvPr id="384" name="Text Box 78"/>
        <xdr:cNvSpPr txBox="1">
          <a:spLocks noChangeArrowheads="1"/>
        </xdr:cNvSpPr>
      </xdr:nvSpPr>
      <xdr:spPr bwMode="auto">
        <a:xfrm>
          <a:off x="1809750" y="768438900"/>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561975</xdr:colOff>
      <xdr:row>3383</xdr:row>
      <xdr:rowOff>142875</xdr:rowOff>
    </xdr:from>
    <xdr:to>
      <xdr:col>2</xdr:col>
      <xdr:colOff>819150</xdr:colOff>
      <xdr:row>3384</xdr:row>
      <xdr:rowOff>47625</xdr:rowOff>
    </xdr:to>
    <xdr:sp macro="" textlink="">
      <xdr:nvSpPr>
        <xdr:cNvPr id="385" name="Text Box 79"/>
        <xdr:cNvSpPr txBox="1">
          <a:spLocks noChangeArrowheads="1"/>
        </xdr:cNvSpPr>
      </xdr:nvSpPr>
      <xdr:spPr bwMode="auto">
        <a:xfrm>
          <a:off x="1857375" y="75348465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676275</xdr:colOff>
      <xdr:row>4001</xdr:row>
      <xdr:rowOff>209550</xdr:rowOff>
    </xdr:from>
    <xdr:to>
      <xdr:col>2</xdr:col>
      <xdr:colOff>933450</xdr:colOff>
      <xdr:row>4002</xdr:row>
      <xdr:rowOff>161925</xdr:rowOff>
    </xdr:to>
    <xdr:sp macro="" textlink="">
      <xdr:nvSpPr>
        <xdr:cNvPr id="394" name="Text Box 132"/>
        <xdr:cNvSpPr txBox="1">
          <a:spLocks noChangeArrowheads="1"/>
        </xdr:cNvSpPr>
      </xdr:nvSpPr>
      <xdr:spPr bwMode="auto">
        <a:xfrm>
          <a:off x="1971675" y="907161000"/>
          <a:ext cx="257175" cy="2000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676275</xdr:colOff>
      <xdr:row>4013</xdr:row>
      <xdr:rowOff>209550</xdr:rowOff>
    </xdr:from>
    <xdr:to>
      <xdr:col>2</xdr:col>
      <xdr:colOff>933450</xdr:colOff>
      <xdr:row>4014</xdr:row>
      <xdr:rowOff>161925</xdr:rowOff>
    </xdr:to>
    <xdr:sp macro="" textlink="">
      <xdr:nvSpPr>
        <xdr:cNvPr id="395" name="Text Box 132"/>
        <xdr:cNvSpPr txBox="1">
          <a:spLocks noChangeArrowheads="1"/>
        </xdr:cNvSpPr>
      </xdr:nvSpPr>
      <xdr:spPr bwMode="auto">
        <a:xfrm>
          <a:off x="1971675" y="907161000"/>
          <a:ext cx="257175" cy="2000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676275</xdr:colOff>
      <xdr:row>4026</xdr:row>
      <xdr:rowOff>209550</xdr:rowOff>
    </xdr:from>
    <xdr:to>
      <xdr:col>2</xdr:col>
      <xdr:colOff>933450</xdr:colOff>
      <xdr:row>4027</xdr:row>
      <xdr:rowOff>161925</xdr:rowOff>
    </xdr:to>
    <xdr:sp macro="" textlink="">
      <xdr:nvSpPr>
        <xdr:cNvPr id="396" name="Text Box 132"/>
        <xdr:cNvSpPr txBox="1">
          <a:spLocks noChangeArrowheads="1"/>
        </xdr:cNvSpPr>
      </xdr:nvSpPr>
      <xdr:spPr bwMode="auto">
        <a:xfrm>
          <a:off x="1971675" y="910237575"/>
          <a:ext cx="257175" cy="2000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342900</xdr:colOff>
      <xdr:row>4380</xdr:row>
      <xdr:rowOff>85724</xdr:rowOff>
    </xdr:from>
    <xdr:to>
      <xdr:col>2</xdr:col>
      <xdr:colOff>600075</xdr:colOff>
      <xdr:row>4381</xdr:row>
      <xdr:rowOff>28574</xdr:rowOff>
    </xdr:to>
    <xdr:sp macro="" textlink="">
      <xdr:nvSpPr>
        <xdr:cNvPr id="383" name="Text Box 316"/>
        <xdr:cNvSpPr txBox="1">
          <a:spLocks noChangeArrowheads="1"/>
        </xdr:cNvSpPr>
      </xdr:nvSpPr>
      <xdr:spPr bwMode="auto">
        <a:xfrm>
          <a:off x="1638300" y="1004763674"/>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4393</xdr:row>
      <xdr:rowOff>123825</xdr:rowOff>
    </xdr:from>
    <xdr:to>
      <xdr:col>2</xdr:col>
      <xdr:colOff>342900</xdr:colOff>
      <xdr:row>4394</xdr:row>
      <xdr:rowOff>0</xdr:rowOff>
    </xdr:to>
    <xdr:sp macro="" textlink="">
      <xdr:nvSpPr>
        <xdr:cNvPr id="386" name="Text Box 316"/>
        <xdr:cNvSpPr txBox="1">
          <a:spLocks noChangeArrowheads="1"/>
        </xdr:cNvSpPr>
      </xdr:nvSpPr>
      <xdr:spPr bwMode="auto">
        <a:xfrm>
          <a:off x="1381125" y="1004144550"/>
          <a:ext cx="257175" cy="952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447675</xdr:colOff>
      <xdr:row>4396</xdr:row>
      <xdr:rowOff>209549</xdr:rowOff>
    </xdr:from>
    <xdr:to>
      <xdr:col>2</xdr:col>
      <xdr:colOff>704850</xdr:colOff>
      <xdr:row>4397</xdr:row>
      <xdr:rowOff>209549</xdr:rowOff>
    </xdr:to>
    <xdr:sp macro="" textlink="">
      <xdr:nvSpPr>
        <xdr:cNvPr id="387" name="Text Box 316"/>
        <xdr:cNvSpPr txBox="1">
          <a:spLocks noChangeArrowheads="1"/>
        </xdr:cNvSpPr>
      </xdr:nvSpPr>
      <xdr:spPr bwMode="auto">
        <a:xfrm>
          <a:off x="1743075" y="1008459374"/>
          <a:ext cx="257175" cy="219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447675</xdr:colOff>
      <xdr:row>4411</xdr:row>
      <xdr:rowOff>209549</xdr:rowOff>
    </xdr:from>
    <xdr:to>
      <xdr:col>2</xdr:col>
      <xdr:colOff>704850</xdr:colOff>
      <xdr:row>4412</xdr:row>
      <xdr:rowOff>209549</xdr:rowOff>
    </xdr:to>
    <xdr:sp macro="" textlink="">
      <xdr:nvSpPr>
        <xdr:cNvPr id="390" name="Text Box 316"/>
        <xdr:cNvSpPr txBox="1">
          <a:spLocks noChangeArrowheads="1"/>
        </xdr:cNvSpPr>
      </xdr:nvSpPr>
      <xdr:spPr bwMode="auto">
        <a:xfrm>
          <a:off x="1743075" y="1008459374"/>
          <a:ext cx="257175" cy="219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447675</xdr:colOff>
      <xdr:row>4425</xdr:row>
      <xdr:rowOff>209549</xdr:rowOff>
    </xdr:from>
    <xdr:to>
      <xdr:col>2</xdr:col>
      <xdr:colOff>704850</xdr:colOff>
      <xdr:row>4426</xdr:row>
      <xdr:rowOff>209549</xdr:rowOff>
    </xdr:to>
    <xdr:sp macro="" textlink="">
      <xdr:nvSpPr>
        <xdr:cNvPr id="391" name="Text Box 316"/>
        <xdr:cNvSpPr txBox="1">
          <a:spLocks noChangeArrowheads="1"/>
        </xdr:cNvSpPr>
      </xdr:nvSpPr>
      <xdr:spPr bwMode="auto">
        <a:xfrm>
          <a:off x="1743075" y="1012031249"/>
          <a:ext cx="257175" cy="219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447675</xdr:colOff>
      <xdr:row>4440</xdr:row>
      <xdr:rowOff>209549</xdr:rowOff>
    </xdr:from>
    <xdr:to>
      <xdr:col>2</xdr:col>
      <xdr:colOff>704850</xdr:colOff>
      <xdr:row>4441</xdr:row>
      <xdr:rowOff>209549</xdr:rowOff>
    </xdr:to>
    <xdr:sp macro="" textlink="">
      <xdr:nvSpPr>
        <xdr:cNvPr id="392" name="Text Box 316"/>
        <xdr:cNvSpPr txBox="1">
          <a:spLocks noChangeArrowheads="1"/>
        </xdr:cNvSpPr>
      </xdr:nvSpPr>
      <xdr:spPr bwMode="auto">
        <a:xfrm>
          <a:off x="1743075" y="1015574549"/>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419100</xdr:colOff>
      <xdr:row>4464</xdr:row>
      <xdr:rowOff>133350</xdr:rowOff>
    </xdr:from>
    <xdr:to>
      <xdr:col>2</xdr:col>
      <xdr:colOff>676275</xdr:colOff>
      <xdr:row>4465</xdr:row>
      <xdr:rowOff>142875</xdr:rowOff>
    </xdr:to>
    <xdr:sp macro="" textlink="">
      <xdr:nvSpPr>
        <xdr:cNvPr id="373" name="Text Box 316"/>
        <xdr:cNvSpPr txBox="1">
          <a:spLocks noChangeArrowheads="1"/>
        </xdr:cNvSpPr>
      </xdr:nvSpPr>
      <xdr:spPr bwMode="auto">
        <a:xfrm>
          <a:off x="1714500" y="102314692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457200</xdr:colOff>
      <xdr:row>4482</xdr:row>
      <xdr:rowOff>95250</xdr:rowOff>
    </xdr:from>
    <xdr:to>
      <xdr:col>2</xdr:col>
      <xdr:colOff>714375</xdr:colOff>
      <xdr:row>4483</xdr:row>
      <xdr:rowOff>104775</xdr:rowOff>
    </xdr:to>
    <xdr:sp macro="" textlink="">
      <xdr:nvSpPr>
        <xdr:cNvPr id="374" name="Text Box 316"/>
        <xdr:cNvSpPr txBox="1">
          <a:spLocks noChangeArrowheads="1"/>
        </xdr:cNvSpPr>
      </xdr:nvSpPr>
      <xdr:spPr bwMode="auto">
        <a:xfrm>
          <a:off x="1752600" y="102768082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400050</xdr:colOff>
      <xdr:row>4336</xdr:row>
      <xdr:rowOff>161925</xdr:rowOff>
    </xdr:from>
    <xdr:to>
      <xdr:col>2</xdr:col>
      <xdr:colOff>657225</xdr:colOff>
      <xdr:row>4337</xdr:row>
      <xdr:rowOff>142875</xdr:rowOff>
    </xdr:to>
    <xdr:sp macro="" textlink="">
      <xdr:nvSpPr>
        <xdr:cNvPr id="375" name="Text Box 316"/>
        <xdr:cNvSpPr txBox="1">
          <a:spLocks noChangeArrowheads="1"/>
        </xdr:cNvSpPr>
      </xdr:nvSpPr>
      <xdr:spPr bwMode="auto">
        <a:xfrm>
          <a:off x="1695450" y="99045712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514350</xdr:colOff>
      <xdr:row>4351</xdr:row>
      <xdr:rowOff>123825</xdr:rowOff>
    </xdr:from>
    <xdr:to>
      <xdr:col>2</xdr:col>
      <xdr:colOff>771525</xdr:colOff>
      <xdr:row>4352</xdr:row>
      <xdr:rowOff>104775</xdr:rowOff>
    </xdr:to>
    <xdr:sp macro="" textlink="">
      <xdr:nvSpPr>
        <xdr:cNvPr id="376" name="Text Box 316"/>
        <xdr:cNvSpPr txBox="1">
          <a:spLocks noChangeArrowheads="1"/>
        </xdr:cNvSpPr>
      </xdr:nvSpPr>
      <xdr:spPr bwMode="auto">
        <a:xfrm>
          <a:off x="1809750" y="99369562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371475</xdr:colOff>
      <xdr:row>4322</xdr:row>
      <xdr:rowOff>95250</xdr:rowOff>
    </xdr:from>
    <xdr:to>
      <xdr:col>2</xdr:col>
      <xdr:colOff>628650</xdr:colOff>
      <xdr:row>4323</xdr:row>
      <xdr:rowOff>76200</xdr:rowOff>
    </xdr:to>
    <xdr:sp macro="" textlink="">
      <xdr:nvSpPr>
        <xdr:cNvPr id="377" name="Text Box 316"/>
        <xdr:cNvSpPr txBox="1">
          <a:spLocks noChangeArrowheads="1"/>
        </xdr:cNvSpPr>
      </xdr:nvSpPr>
      <xdr:spPr bwMode="auto">
        <a:xfrm>
          <a:off x="1666875" y="98720910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428625</xdr:colOff>
      <xdr:row>4298</xdr:row>
      <xdr:rowOff>142875</xdr:rowOff>
    </xdr:from>
    <xdr:to>
      <xdr:col>2</xdr:col>
      <xdr:colOff>685800</xdr:colOff>
      <xdr:row>4299</xdr:row>
      <xdr:rowOff>123825</xdr:rowOff>
    </xdr:to>
    <xdr:sp macro="" textlink="">
      <xdr:nvSpPr>
        <xdr:cNvPr id="379" name="Text Box 316"/>
        <xdr:cNvSpPr txBox="1">
          <a:spLocks noChangeArrowheads="1"/>
        </xdr:cNvSpPr>
      </xdr:nvSpPr>
      <xdr:spPr bwMode="auto">
        <a:xfrm>
          <a:off x="1724025" y="98023680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438150</xdr:colOff>
      <xdr:row>4280</xdr:row>
      <xdr:rowOff>142875</xdr:rowOff>
    </xdr:from>
    <xdr:to>
      <xdr:col>2</xdr:col>
      <xdr:colOff>695325</xdr:colOff>
      <xdr:row>4281</xdr:row>
      <xdr:rowOff>142875</xdr:rowOff>
    </xdr:to>
    <xdr:sp macro="" textlink="">
      <xdr:nvSpPr>
        <xdr:cNvPr id="380" name="Text Box 316"/>
        <xdr:cNvSpPr txBox="1">
          <a:spLocks noChangeArrowheads="1"/>
        </xdr:cNvSpPr>
      </xdr:nvSpPr>
      <xdr:spPr bwMode="auto">
        <a:xfrm>
          <a:off x="1733550" y="97624582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257175</xdr:colOff>
      <xdr:row>4171</xdr:row>
      <xdr:rowOff>190500</xdr:rowOff>
    </xdr:from>
    <xdr:to>
      <xdr:col>2</xdr:col>
      <xdr:colOff>514350</xdr:colOff>
      <xdr:row>4172</xdr:row>
      <xdr:rowOff>190500</xdr:rowOff>
    </xdr:to>
    <xdr:sp macro="" textlink="">
      <xdr:nvSpPr>
        <xdr:cNvPr id="381" name="Text Box 316"/>
        <xdr:cNvSpPr txBox="1">
          <a:spLocks noChangeArrowheads="1"/>
        </xdr:cNvSpPr>
      </xdr:nvSpPr>
      <xdr:spPr bwMode="auto">
        <a:xfrm>
          <a:off x="1552575" y="95044260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133350</xdr:colOff>
      <xdr:row>4154</xdr:row>
      <xdr:rowOff>161925</xdr:rowOff>
    </xdr:from>
    <xdr:to>
      <xdr:col>2</xdr:col>
      <xdr:colOff>390525</xdr:colOff>
      <xdr:row>4155</xdr:row>
      <xdr:rowOff>142875</xdr:rowOff>
    </xdr:to>
    <xdr:sp macro="" textlink="">
      <xdr:nvSpPr>
        <xdr:cNvPr id="382" name="Text Box 316"/>
        <xdr:cNvSpPr txBox="1">
          <a:spLocks noChangeArrowheads="1"/>
        </xdr:cNvSpPr>
      </xdr:nvSpPr>
      <xdr:spPr bwMode="auto">
        <a:xfrm>
          <a:off x="1428750" y="94686120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257175</xdr:colOff>
      <xdr:row>3657</xdr:row>
      <xdr:rowOff>161925</xdr:rowOff>
    </xdr:from>
    <xdr:to>
      <xdr:col>2</xdr:col>
      <xdr:colOff>514350</xdr:colOff>
      <xdr:row>3658</xdr:row>
      <xdr:rowOff>142875</xdr:rowOff>
    </xdr:to>
    <xdr:sp macro="" textlink="">
      <xdr:nvSpPr>
        <xdr:cNvPr id="388" name="Text Box 316"/>
        <xdr:cNvSpPr txBox="1">
          <a:spLocks noChangeArrowheads="1"/>
        </xdr:cNvSpPr>
      </xdr:nvSpPr>
      <xdr:spPr bwMode="auto">
        <a:xfrm>
          <a:off x="1552575" y="83183730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114300</xdr:colOff>
      <xdr:row>3589</xdr:row>
      <xdr:rowOff>161925</xdr:rowOff>
    </xdr:from>
    <xdr:to>
      <xdr:col>2</xdr:col>
      <xdr:colOff>371475</xdr:colOff>
      <xdr:row>3590</xdr:row>
      <xdr:rowOff>142875</xdr:rowOff>
    </xdr:to>
    <xdr:sp macro="" textlink="">
      <xdr:nvSpPr>
        <xdr:cNvPr id="389" name="Text Box 316"/>
        <xdr:cNvSpPr txBox="1">
          <a:spLocks noChangeArrowheads="1"/>
        </xdr:cNvSpPr>
      </xdr:nvSpPr>
      <xdr:spPr bwMode="auto">
        <a:xfrm>
          <a:off x="1409700" y="81746407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114300</xdr:colOff>
      <xdr:row>3556</xdr:row>
      <xdr:rowOff>142875</xdr:rowOff>
    </xdr:from>
    <xdr:to>
      <xdr:col>2</xdr:col>
      <xdr:colOff>371475</xdr:colOff>
      <xdr:row>3557</xdr:row>
      <xdr:rowOff>123825</xdr:rowOff>
    </xdr:to>
    <xdr:sp macro="" textlink="">
      <xdr:nvSpPr>
        <xdr:cNvPr id="397" name="Text Box 316"/>
        <xdr:cNvSpPr txBox="1">
          <a:spLocks noChangeArrowheads="1"/>
        </xdr:cNvSpPr>
      </xdr:nvSpPr>
      <xdr:spPr bwMode="auto">
        <a:xfrm>
          <a:off x="1409700" y="80990122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142875</xdr:colOff>
      <xdr:row>3513</xdr:row>
      <xdr:rowOff>142875</xdr:rowOff>
    </xdr:from>
    <xdr:to>
      <xdr:col>2</xdr:col>
      <xdr:colOff>400050</xdr:colOff>
      <xdr:row>3514</xdr:row>
      <xdr:rowOff>123825</xdr:rowOff>
    </xdr:to>
    <xdr:sp macro="" textlink="">
      <xdr:nvSpPr>
        <xdr:cNvPr id="398" name="Text Box 316"/>
        <xdr:cNvSpPr txBox="1">
          <a:spLocks noChangeArrowheads="1"/>
        </xdr:cNvSpPr>
      </xdr:nvSpPr>
      <xdr:spPr bwMode="auto">
        <a:xfrm>
          <a:off x="1438275" y="80046195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152400</xdr:colOff>
      <xdr:row>3497</xdr:row>
      <xdr:rowOff>142875</xdr:rowOff>
    </xdr:from>
    <xdr:to>
      <xdr:col>2</xdr:col>
      <xdr:colOff>409575</xdr:colOff>
      <xdr:row>3498</xdr:row>
      <xdr:rowOff>123825</xdr:rowOff>
    </xdr:to>
    <xdr:sp macro="" textlink="">
      <xdr:nvSpPr>
        <xdr:cNvPr id="399" name="Text Box 316"/>
        <xdr:cNvSpPr txBox="1">
          <a:spLocks noChangeArrowheads="1"/>
        </xdr:cNvSpPr>
      </xdr:nvSpPr>
      <xdr:spPr bwMode="auto">
        <a:xfrm>
          <a:off x="1447800" y="79733775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95250</xdr:colOff>
      <xdr:row>3482</xdr:row>
      <xdr:rowOff>161925</xdr:rowOff>
    </xdr:from>
    <xdr:to>
      <xdr:col>2</xdr:col>
      <xdr:colOff>352425</xdr:colOff>
      <xdr:row>3483</xdr:row>
      <xdr:rowOff>142875</xdr:rowOff>
    </xdr:to>
    <xdr:sp macro="" textlink="">
      <xdr:nvSpPr>
        <xdr:cNvPr id="409" name="Text Box 316"/>
        <xdr:cNvSpPr txBox="1">
          <a:spLocks noChangeArrowheads="1"/>
        </xdr:cNvSpPr>
      </xdr:nvSpPr>
      <xdr:spPr bwMode="auto">
        <a:xfrm>
          <a:off x="1390650" y="79405162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171450</xdr:colOff>
      <xdr:row>3468</xdr:row>
      <xdr:rowOff>152400</xdr:rowOff>
    </xdr:from>
    <xdr:to>
      <xdr:col>2</xdr:col>
      <xdr:colOff>428625</xdr:colOff>
      <xdr:row>3469</xdr:row>
      <xdr:rowOff>133350</xdr:rowOff>
    </xdr:to>
    <xdr:sp macro="" textlink="">
      <xdr:nvSpPr>
        <xdr:cNvPr id="411" name="Text Box 316"/>
        <xdr:cNvSpPr txBox="1">
          <a:spLocks noChangeArrowheads="1"/>
        </xdr:cNvSpPr>
      </xdr:nvSpPr>
      <xdr:spPr bwMode="auto">
        <a:xfrm>
          <a:off x="1466850" y="79071787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95250</xdr:colOff>
      <xdr:row>3453</xdr:row>
      <xdr:rowOff>171450</xdr:rowOff>
    </xdr:from>
    <xdr:to>
      <xdr:col>2</xdr:col>
      <xdr:colOff>352425</xdr:colOff>
      <xdr:row>3454</xdr:row>
      <xdr:rowOff>152400</xdr:rowOff>
    </xdr:to>
    <xdr:sp macro="" textlink="">
      <xdr:nvSpPr>
        <xdr:cNvPr id="413" name="Text Box 316"/>
        <xdr:cNvSpPr txBox="1">
          <a:spLocks noChangeArrowheads="1"/>
        </xdr:cNvSpPr>
      </xdr:nvSpPr>
      <xdr:spPr bwMode="auto">
        <a:xfrm>
          <a:off x="1390650" y="78773655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142875</xdr:colOff>
      <xdr:row>3440</xdr:row>
      <xdr:rowOff>133350</xdr:rowOff>
    </xdr:from>
    <xdr:to>
      <xdr:col>2</xdr:col>
      <xdr:colOff>400050</xdr:colOff>
      <xdr:row>3441</xdr:row>
      <xdr:rowOff>114300</xdr:rowOff>
    </xdr:to>
    <xdr:sp macro="" textlink="">
      <xdr:nvSpPr>
        <xdr:cNvPr id="414" name="Text Box 316"/>
        <xdr:cNvSpPr txBox="1">
          <a:spLocks noChangeArrowheads="1"/>
        </xdr:cNvSpPr>
      </xdr:nvSpPr>
      <xdr:spPr bwMode="auto">
        <a:xfrm>
          <a:off x="1438275" y="78481237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171450</xdr:colOff>
      <xdr:row>3413</xdr:row>
      <xdr:rowOff>161925</xdr:rowOff>
    </xdr:from>
    <xdr:to>
      <xdr:col>2</xdr:col>
      <xdr:colOff>428625</xdr:colOff>
      <xdr:row>3414</xdr:row>
      <xdr:rowOff>142875</xdr:rowOff>
    </xdr:to>
    <xdr:sp macro="" textlink="">
      <xdr:nvSpPr>
        <xdr:cNvPr id="415" name="Text Box 316"/>
        <xdr:cNvSpPr txBox="1">
          <a:spLocks noChangeArrowheads="1"/>
        </xdr:cNvSpPr>
      </xdr:nvSpPr>
      <xdr:spPr bwMode="auto">
        <a:xfrm>
          <a:off x="1466850" y="77842110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95250</xdr:colOff>
      <xdr:row>3398</xdr:row>
      <xdr:rowOff>152400</xdr:rowOff>
    </xdr:from>
    <xdr:to>
      <xdr:col>2</xdr:col>
      <xdr:colOff>352425</xdr:colOff>
      <xdr:row>3399</xdr:row>
      <xdr:rowOff>133350</xdr:rowOff>
    </xdr:to>
    <xdr:sp macro="" textlink="">
      <xdr:nvSpPr>
        <xdr:cNvPr id="416" name="Text Box 316"/>
        <xdr:cNvSpPr txBox="1">
          <a:spLocks noChangeArrowheads="1"/>
        </xdr:cNvSpPr>
      </xdr:nvSpPr>
      <xdr:spPr bwMode="auto">
        <a:xfrm>
          <a:off x="1390650" y="77505877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304800</xdr:colOff>
      <xdr:row>3069</xdr:row>
      <xdr:rowOff>95250</xdr:rowOff>
    </xdr:from>
    <xdr:to>
      <xdr:col>2</xdr:col>
      <xdr:colOff>561975</xdr:colOff>
      <xdr:row>3070</xdr:row>
      <xdr:rowOff>95250</xdr:rowOff>
    </xdr:to>
    <xdr:sp macro="" textlink="">
      <xdr:nvSpPr>
        <xdr:cNvPr id="417" name="Text Box 316"/>
        <xdr:cNvSpPr txBox="1">
          <a:spLocks noChangeArrowheads="1"/>
        </xdr:cNvSpPr>
      </xdr:nvSpPr>
      <xdr:spPr bwMode="auto">
        <a:xfrm>
          <a:off x="1600200" y="69949695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295275</xdr:colOff>
      <xdr:row>3016</xdr:row>
      <xdr:rowOff>180975</xdr:rowOff>
    </xdr:from>
    <xdr:to>
      <xdr:col>2</xdr:col>
      <xdr:colOff>552450</xdr:colOff>
      <xdr:row>3017</xdr:row>
      <xdr:rowOff>161925</xdr:rowOff>
    </xdr:to>
    <xdr:sp macro="" textlink="">
      <xdr:nvSpPr>
        <xdr:cNvPr id="418" name="Text Box 316"/>
        <xdr:cNvSpPr txBox="1">
          <a:spLocks noChangeArrowheads="1"/>
        </xdr:cNvSpPr>
      </xdr:nvSpPr>
      <xdr:spPr bwMode="auto">
        <a:xfrm>
          <a:off x="1590675" y="68687632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295275</xdr:colOff>
      <xdr:row>3004</xdr:row>
      <xdr:rowOff>171450</xdr:rowOff>
    </xdr:from>
    <xdr:to>
      <xdr:col>2</xdr:col>
      <xdr:colOff>552450</xdr:colOff>
      <xdr:row>3005</xdr:row>
      <xdr:rowOff>152400</xdr:rowOff>
    </xdr:to>
    <xdr:sp macro="" textlink="">
      <xdr:nvSpPr>
        <xdr:cNvPr id="419" name="Text Box 316"/>
        <xdr:cNvSpPr txBox="1">
          <a:spLocks noChangeArrowheads="1"/>
        </xdr:cNvSpPr>
      </xdr:nvSpPr>
      <xdr:spPr bwMode="auto">
        <a:xfrm>
          <a:off x="1590675" y="68360925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400050</xdr:colOff>
      <xdr:row>2970</xdr:row>
      <xdr:rowOff>142875</xdr:rowOff>
    </xdr:from>
    <xdr:to>
      <xdr:col>2</xdr:col>
      <xdr:colOff>657225</xdr:colOff>
      <xdr:row>2971</xdr:row>
      <xdr:rowOff>123825</xdr:rowOff>
    </xdr:to>
    <xdr:sp macro="" textlink="">
      <xdr:nvSpPr>
        <xdr:cNvPr id="420" name="Text Box 316"/>
        <xdr:cNvSpPr txBox="1">
          <a:spLocks noChangeArrowheads="1"/>
        </xdr:cNvSpPr>
      </xdr:nvSpPr>
      <xdr:spPr bwMode="auto">
        <a:xfrm>
          <a:off x="1695450" y="67523677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476250</xdr:colOff>
      <xdr:row>2927</xdr:row>
      <xdr:rowOff>123825</xdr:rowOff>
    </xdr:from>
    <xdr:to>
      <xdr:col>2</xdr:col>
      <xdr:colOff>733425</xdr:colOff>
      <xdr:row>2928</xdr:row>
      <xdr:rowOff>133350</xdr:rowOff>
    </xdr:to>
    <xdr:sp macro="" textlink="">
      <xdr:nvSpPr>
        <xdr:cNvPr id="427" name="Text Box 316"/>
        <xdr:cNvSpPr txBox="1">
          <a:spLocks noChangeArrowheads="1"/>
        </xdr:cNvSpPr>
      </xdr:nvSpPr>
      <xdr:spPr bwMode="auto">
        <a:xfrm>
          <a:off x="1771650" y="66598800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504825</xdr:colOff>
      <xdr:row>2883</xdr:row>
      <xdr:rowOff>152400</xdr:rowOff>
    </xdr:from>
    <xdr:to>
      <xdr:col>2</xdr:col>
      <xdr:colOff>762000</xdr:colOff>
      <xdr:row>2884</xdr:row>
      <xdr:rowOff>161925</xdr:rowOff>
    </xdr:to>
    <xdr:sp macro="" textlink="">
      <xdr:nvSpPr>
        <xdr:cNvPr id="428" name="Text Box 316"/>
        <xdr:cNvSpPr txBox="1">
          <a:spLocks noChangeArrowheads="1"/>
        </xdr:cNvSpPr>
      </xdr:nvSpPr>
      <xdr:spPr bwMode="auto">
        <a:xfrm>
          <a:off x="1800225" y="65565337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409575</xdr:colOff>
      <xdr:row>2675</xdr:row>
      <xdr:rowOff>123825</xdr:rowOff>
    </xdr:from>
    <xdr:to>
      <xdr:col>2</xdr:col>
      <xdr:colOff>666750</xdr:colOff>
      <xdr:row>2676</xdr:row>
      <xdr:rowOff>123825</xdr:rowOff>
    </xdr:to>
    <xdr:sp macro="" textlink="">
      <xdr:nvSpPr>
        <xdr:cNvPr id="429" name="Text Box 316"/>
        <xdr:cNvSpPr txBox="1">
          <a:spLocks noChangeArrowheads="1"/>
        </xdr:cNvSpPr>
      </xdr:nvSpPr>
      <xdr:spPr bwMode="auto">
        <a:xfrm>
          <a:off x="1704975" y="60920947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400050</xdr:colOff>
      <xdr:row>2636</xdr:row>
      <xdr:rowOff>161925</xdr:rowOff>
    </xdr:from>
    <xdr:to>
      <xdr:col>2</xdr:col>
      <xdr:colOff>657225</xdr:colOff>
      <xdr:row>2637</xdr:row>
      <xdr:rowOff>171450</xdr:rowOff>
    </xdr:to>
    <xdr:sp macro="" textlink="">
      <xdr:nvSpPr>
        <xdr:cNvPr id="430" name="Text Box 316"/>
        <xdr:cNvSpPr txBox="1">
          <a:spLocks noChangeArrowheads="1"/>
        </xdr:cNvSpPr>
      </xdr:nvSpPr>
      <xdr:spPr bwMode="auto">
        <a:xfrm>
          <a:off x="1695450" y="60119895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352425</xdr:colOff>
      <xdr:row>2617</xdr:row>
      <xdr:rowOff>104775</xdr:rowOff>
    </xdr:from>
    <xdr:to>
      <xdr:col>2</xdr:col>
      <xdr:colOff>609600</xdr:colOff>
      <xdr:row>2618</xdr:row>
      <xdr:rowOff>104775</xdr:rowOff>
    </xdr:to>
    <xdr:sp macro="" textlink="">
      <xdr:nvSpPr>
        <xdr:cNvPr id="431" name="Text Box 316"/>
        <xdr:cNvSpPr txBox="1">
          <a:spLocks noChangeArrowheads="1"/>
        </xdr:cNvSpPr>
      </xdr:nvSpPr>
      <xdr:spPr bwMode="auto">
        <a:xfrm>
          <a:off x="1647825" y="59668410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276225</xdr:colOff>
      <xdr:row>2557</xdr:row>
      <xdr:rowOff>133350</xdr:rowOff>
    </xdr:from>
    <xdr:to>
      <xdr:col>2</xdr:col>
      <xdr:colOff>533400</xdr:colOff>
      <xdr:row>2558</xdr:row>
      <xdr:rowOff>142875</xdr:rowOff>
    </xdr:to>
    <xdr:sp macro="" textlink="">
      <xdr:nvSpPr>
        <xdr:cNvPr id="432" name="Text Box 316"/>
        <xdr:cNvSpPr txBox="1">
          <a:spLocks noChangeArrowheads="1"/>
        </xdr:cNvSpPr>
      </xdr:nvSpPr>
      <xdr:spPr bwMode="auto">
        <a:xfrm>
          <a:off x="1571625" y="582815700"/>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333375</xdr:colOff>
      <xdr:row>2490</xdr:row>
      <xdr:rowOff>190500</xdr:rowOff>
    </xdr:from>
    <xdr:to>
      <xdr:col>2</xdr:col>
      <xdr:colOff>590550</xdr:colOff>
      <xdr:row>2491</xdr:row>
      <xdr:rowOff>171450</xdr:rowOff>
    </xdr:to>
    <xdr:sp macro="" textlink="">
      <xdr:nvSpPr>
        <xdr:cNvPr id="433" name="Text Box 316"/>
        <xdr:cNvSpPr txBox="1">
          <a:spLocks noChangeArrowheads="1"/>
        </xdr:cNvSpPr>
      </xdr:nvSpPr>
      <xdr:spPr bwMode="auto">
        <a:xfrm>
          <a:off x="1628775" y="56775667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323850</xdr:colOff>
      <xdr:row>2415</xdr:row>
      <xdr:rowOff>200025</xdr:rowOff>
    </xdr:from>
    <xdr:to>
      <xdr:col>2</xdr:col>
      <xdr:colOff>581025</xdr:colOff>
      <xdr:row>2416</xdr:row>
      <xdr:rowOff>180975</xdr:rowOff>
    </xdr:to>
    <xdr:sp macro="" textlink="">
      <xdr:nvSpPr>
        <xdr:cNvPr id="434" name="Text Box 316"/>
        <xdr:cNvSpPr txBox="1">
          <a:spLocks noChangeArrowheads="1"/>
        </xdr:cNvSpPr>
      </xdr:nvSpPr>
      <xdr:spPr bwMode="auto">
        <a:xfrm>
          <a:off x="1619250" y="55104982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361950</xdr:colOff>
      <xdr:row>2253</xdr:row>
      <xdr:rowOff>133350</xdr:rowOff>
    </xdr:from>
    <xdr:to>
      <xdr:col>2</xdr:col>
      <xdr:colOff>619125</xdr:colOff>
      <xdr:row>2254</xdr:row>
      <xdr:rowOff>142875</xdr:rowOff>
    </xdr:to>
    <xdr:sp macro="" textlink="">
      <xdr:nvSpPr>
        <xdr:cNvPr id="435" name="Text Box 316"/>
        <xdr:cNvSpPr txBox="1">
          <a:spLocks noChangeArrowheads="1"/>
        </xdr:cNvSpPr>
      </xdr:nvSpPr>
      <xdr:spPr bwMode="auto">
        <a:xfrm>
          <a:off x="1657350" y="51599782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381000</xdr:colOff>
      <xdr:row>2193</xdr:row>
      <xdr:rowOff>114300</xdr:rowOff>
    </xdr:from>
    <xdr:to>
      <xdr:col>2</xdr:col>
      <xdr:colOff>638175</xdr:colOff>
      <xdr:row>2194</xdr:row>
      <xdr:rowOff>114300</xdr:rowOff>
    </xdr:to>
    <xdr:sp macro="" textlink="">
      <xdr:nvSpPr>
        <xdr:cNvPr id="436" name="Text Box 316"/>
        <xdr:cNvSpPr txBox="1">
          <a:spLocks noChangeArrowheads="1"/>
        </xdr:cNvSpPr>
      </xdr:nvSpPr>
      <xdr:spPr bwMode="auto">
        <a:xfrm>
          <a:off x="1676400" y="50252947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238125</xdr:colOff>
      <xdr:row>2033</xdr:row>
      <xdr:rowOff>133350</xdr:rowOff>
    </xdr:from>
    <xdr:to>
      <xdr:col>2</xdr:col>
      <xdr:colOff>495300</xdr:colOff>
      <xdr:row>2034</xdr:row>
      <xdr:rowOff>133350</xdr:rowOff>
    </xdr:to>
    <xdr:sp macro="" textlink="">
      <xdr:nvSpPr>
        <xdr:cNvPr id="437" name="Text Box 316"/>
        <xdr:cNvSpPr txBox="1">
          <a:spLocks noChangeArrowheads="1"/>
        </xdr:cNvSpPr>
      </xdr:nvSpPr>
      <xdr:spPr bwMode="auto">
        <a:xfrm>
          <a:off x="1533525" y="46770607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333375</xdr:colOff>
      <xdr:row>1892</xdr:row>
      <xdr:rowOff>171450</xdr:rowOff>
    </xdr:from>
    <xdr:to>
      <xdr:col>2</xdr:col>
      <xdr:colOff>590550</xdr:colOff>
      <xdr:row>1893</xdr:row>
      <xdr:rowOff>38100</xdr:rowOff>
    </xdr:to>
    <xdr:sp macro="" textlink="">
      <xdr:nvSpPr>
        <xdr:cNvPr id="438" name="Text Box 245"/>
        <xdr:cNvSpPr txBox="1">
          <a:spLocks noChangeArrowheads="1"/>
        </xdr:cNvSpPr>
      </xdr:nvSpPr>
      <xdr:spPr bwMode="auto">
        <a:xfrm>
          <a:off x="1628775" y="415366200"/>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152400</xdr:colOff>
      <xdr:row>1869</xdr:row>
      <xdr:rowOff>142875</xdr:rowOff>
    </xdr:from>
    <xdr:to>
      <xdr:col>2</xdr:col>
      <xdr:colOff>409575</xdr:colOff>
      <xdr:row>1870</xdr:row>
      <xdr:rowOff>38100</xdr:rowOff>
    </xdr:to>
    <xdr:sp macro="" textlink="">
      <xdr:nvSpPr>
        <xdr:cNvPr id="439" name="Text Box 245"/>
        <xdr:cNvSpPr txBox="1">
          <a:spLocks noChangeArrowheads="1"/>
        </xdr:cNvSpPr>
      </xdr:nvSpPr>
      <xdr:spPr bwMode="auto">
        <a:xfrm>
          <a:off x="1447800" y="40990837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161925</xdr:colOff>
      <xdr:row>1834</xdr:row>
      <xdr:rowOff>123825</xdr:rowOff>
    </xdr:from>
    <xdr:to>
      <xdr:col>2</xdr:col>
      <xdr:colOff>419100</xdr:colOff>
      <xdr:row>1835</xdr:row>
      <xdr:rowOff>19050</xdr:rowOff>
    </xdr:to>
    <xdr:sp macro="" textlink="">
      <xdr:nvSpPr>
        <xdr:cNvPr id="440" name="Text Box 245"/>
        <xdr:cNvSpPr txBox="1">
          <a:spLocks noChangeArrowheads="1"/>
        </xdr:cNvSpPr>
      </xdr:nvSpPr>
      <xdr:spPr bwMode="auto">
        <a:xfrm>
          <a:off x="1457325" y="401535900"/>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228600</xdr:colOff>
      <xdr:row>1817</xdr:row>
      <xdr:rowOff>114300</xdr:rowOff>
    </xdr:from>
    <xdr:to>
      <xdr:col>2</xdr:col>
      <xdr:colOff>485775</xdr:colOff>
      <xdr:row>1818</xdr:row>
      <xdr:rowOff>9525</xdr:rowOff>
    </xdr:to>
    <xdr:sp macro="" textlink="">
      <xdr:nvSpPr>
        <xdr:cNvPr id="441" name="Text Box 245"/>
        <xdr:cNvSpPr txBox="1">
          <a:spLocks noChangeArrowheads="1"/>
        </xdr:cNvSpPr>
      </xdr:nvSpPr>
      <xdr:spPr bwMode="auto">
        <a:xfrm>
          <a:off x="1524000" y="3979259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247650</xdr:colOff>
      <xdr:row>1801</xdr:row>
      <xdr:rowOff>114300</xdr:rowOff>
    </xdr:from>
    <xdr:to>
      <xdr:col>2</xdr:col>
      <xdr:colOff>504825</xdr:colOff>
      <xdr:row>1802</xdr:row>
      <xdr:rowOff>9525</xdr:rowOff>
    </xdr:to>
    <xdr:sp macro="" textlink="">
      <xdr:nvSpPr>
        <xdr:cNvPr id="442" name="Text Box 245"/>
        <xdr:cNvSpPr txBox="1">
          <a:spLocks noChangeArrowheads="1"/>
        </xdr:cNvSpPr>
      </xdr:nvSpPr>
      <xdr:spPr bwMode="auto">
        <a:xfrm>
          <a:off x="1543050" y="3943445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352425</xdr:colOff>
      <xdr:row>1599</xdr:row>
      <xdr:rowOff>180975</xdr:rowOff>
    </xdr:from>
    <xdr:to>
      <xdr:col>2</xdr:col>
      <xdr:colOff>609600</xdr:colOff>
      <xdr:row>1600</xdr:row>
      <xdr:rowOff>47625</xdr:rowOff>
    </xdr:to>
    <xdr:sp macro="" textlink="">
      <xdr:nvSpPr>
        <xdr:cNvPr id="443" name="Text Box 245"/>
        <xdr:cNvSpPr txBox="1">
          <a:spLocks noChangeArrowheads="1"/>
        </xdr:cNvSpPr>
      </xdr:nvSpPr>
      <xdr:spPr bwMode="auto">
        <a:xfrm>
          <a:off x="1647825" y="35028187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447675</xdr:colOff>
      <xdr:row>1557</xdr:row>
      <xdr:rowOff>161925</xdr:rowOff>
    </xdr:from>
    <xdr:to>
      <xdr:col>2</xdr:col>
      <xdr:colOff>704850</xdr:colOff>
      <xdr:row>1558</xdr:row>
      <xdr:rowOff>28575</xdr:rowOff>
    </xdr:to>
    <xdr:sp macro="" textlink="">
      <xdr:nvSpPr>
        <xdr:cNvPr id="444" name="Text Box 245"/>
        <xdr:cNvSpPr txBox="1">
          <a:spLocks noChangeArrowheads="1"/>
        </xdr:cNvSpPr>
      </xdr:nvSpPr>
      <xdr:spPr bwMode="auto">
        <a:xfrm>
          <a:off x="1743075" y="341718900"/>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390525</xdr:colOff>
      <xdr:row>1507</xdr:row>
      <xdr:rowOff>180975</xdr:rowOff>
    </xdr:from>
    <xdr:to>
      <xdr:col>2</xdr:col>
      <xdr:colOff>647700</xdr:colOff>
      <xdr:row>1508</xdr:row>
      <xdr:rowOff>66675</xdr:rowOff>
    </xdr:to>
    <xdr:sp macro="" textlink="">
      <xdr:nvSpPr>
        <xdr:cNvPr id="445" name="Text Box 245"/>
        <xdr:cNvSpPr txBox="1">
          <a:spLocks noChangeArrowheads="1"/>
        </xdr:cNvSpPr>
      </xdr:nvSpPr>
      <xdr:spPr bwMode="auto">
        <a:xfrm>
          <a:off x="1685925" y="32986027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238125</xdr:colOff>
      <xdr:row>1493</xdr:row>
      <xdr:rowOff>104775</xdr:rowOff>
    </xdr:from>
    <xdr:to>
      <xdr:col>2</xdr:col>
      <xdr:colOff>495300</xdr:colOff>
      <xdr:row>1493</xdr:row>
      <xdr:rowOff>219075</xdr:rowOff>
    </xdr:to>
    <xdr:sp macro="" textlink="">
      <xdr:nvSpPr>
        <xdr:cNvPr id="446" name="Text Box 245"/>
        <xdr:cNvSpPr txBox="1">
          <a:spLocks noChangeArrowheads="1"/>
        </xdr:cNvSpPr>
      </xdr:nvSpPr>
      <xdr:spPr bwMode="auto">
        <a:xfrm>
          <a:off x="1533525" y="3264122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285750</xdr:colOff>
      <xdr:row>1465</xdr:row>
      <xdr:rowOff>114300</xdr:rowOff>
    </xdr:from>
    <xdr:to>
      <xdr:col>2</xdr:col>
      <xdr:colOff>542925</xdr:colOff>
      <xdr:row>1466</xdr:row>
      <xdr:rowOff>76200</xdr:rowOff>
    </xdr:to>
    <xdr:sp macro="" textlink="">
      <xdr:nvSpPr>
        <xdr:cNvPr id="447" name="Text Box 245"/>
        <xdr:cNvSpPr txBox="1">
          <a:spLocks noChangeArrowheads="1"/>
        </xdr:cNvSpPr>
      </xdr:nvSpPr>
      <xdr:spPr bwMode="auto">
        <a:xfrm>
          <a:off x="1676400" y="344671650"/>
          <a:ext cx="257175"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285751</xdr:colOff>
      <xdr:row>1451</xdr:row>
      <xdr:rowOff>123825</xdr:rowOff>
    </xdr:from>
    <xdr:to>
      <xdr:col>2</xdr:col>
      <xdr:colOff>514351</xdr:colOff>
      <xdr:row>1452</xdr:row>
      <xdr:rowOff>76200</xdr:rowOff>
    </xdr:to>
    <xdr:sp macro="" textlink="">
      <xdr:nvSpPr>
        <xdr:cNvPr id="448" name="Text Box 245"/>
        <xdr:cNvSpPr txBox="1">
          <a:spLocks noChangeArrowheads="1"/>
        </xdr:cNvSpPr>
      </xdr:nvSpPr>
      <xdr:spPr bwMode="auto">
        <a:xfrm>
          <a:off x="1581151" y="316811025"/>
          <a:ext cx="2286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352425</xdr:colOff>
      <xdr:row>1436</xdr:row>
      <xdr:rowOff>142875</xdr:rowOff>
    </xdr:from>
    <xdr:to>
      <xdr:col>2</xdr:col>
      <xdr:colOff>609600</xdr:colOff>
      <xdr:row>1437</xdr:row>
      <xdr:rowOff>85725</xdr:rowOff>
    </xdr:to>
    <xdr:sp macro="" textlink="">
      <xdr:nvSpPr>
        <xdr:cNvPr id="449" name="Text Box 245"/>
        <xdr:cNvSpPr txBox="1">
          <a:spLocks noChangeArrowheads="1"/>
        </xdr:cNvSpPr>
      </xdr:nvSpPr>
      <xdr:spPr bwMode="auto">
        <a:xfrm>
          <a:off x="1647825" y="31376302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400050</xdr:colOff>
      <xdr:row>1392</xdr:row>
      <xdr:rowOff>161925</xdr:rowOff>
    </xdr:from>
    <xdr:to>
      <xdr:col>2</xdr:col>
      <xdr:colOff>657225</xdr:colOff>
      <xdr:row>1393</xdr:row>
      <xdr:rowOff>85725</xdr:rowOff>
    </xdr:to>
    <xdr:sp macro="" textlink="">
      <xdr:nvSpPr>
        <xdr:cNvPr id="450" name="Text Box 245"/>
        <xdr:cNvSpPr txBox="1">
          <a:spLocks noChangeArrowheads="1"/>
        </xdr:cNvSpPr>
      </xdr:nvSpPr>
      <xdr:spPr bwMode="auto">
        <a:xfrm>
          <a:off x="1695450" y="30367605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152400</xdr:colOff>
      <xdr:row>1378</xdr:row>
      <xdr:rowOff>114300</xdr:rowOff>
    </xdr:from>
    <xdr:to>
      <xdr:col>2</xdr:col>
      <xdr:colOff>409575</xdr:colOff>
      <xdr:row>1379</xdr:row>
      <xdr:rowOff>47625</xdr:rowOff>
    </xdr:to>
    <xdr:sp macro="" textlink="">
      <xdr:nvSpPr>
        <xdr:cNvPr id="451" name="Text Box 245"/>
        <xdr:cNvSpPr txBox="1">
          <a:spLocks noChangeArrowheads="1"/>
        </xdr:cNvSpPr>
      </xdr:nvSpPr>
      <xdr:spPr bwMode="auto">
        <a:xfrm>
          <a:off x="1447800" y="30213300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1359</xdr:row>
      <xdr:rowOff>104775</xdr:rowOff>
    </xdr:from>
    <xdr:to>
      <xdr:col>2</xdr:col>
      <xdr:colOff>361950</xdr:colOff>
      <xdr:row>1360</xdr:row>
      <xdr:rowOff>38100</xdr:rowOff>
    </xdr:to>
    <xdr:sp macro="" textlink="">
      <xdr:nvSpPr>
        <xdr:cNvPr id="452" name="Text Box 245"/>
        <xdr:cNvSpPr txBox="1">
          <a:spLocks noChangeArrowheads="1"/>
        </xdr:cNvSpPr>
      </xdr:nvSpPr>
      <xdr:spPr bwMode="auto">
        <a:xfrm>
          <a:off x="1495425" y="3198399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114300</xdr:colOff>
      <xdr:row>1328</xdr:row>
      <xdr:rowOff>142875</xdr:rowOff>
    </xdr:from>
    <xdr:to>
      <xdr:col>2</xdr:col>
      <xdr:colOff>371475</xdr:colOff>
      <xdr:row>1329</xdr:row>
      <xdr:rowOff>66675</xdr:rowOff>
    </xdr:to>
    <xdr:sp macro="" textlink="">
      <xdr:nvSpPr>
        <xdr:cNvPr id="453" name="Text Box 245"/>
        <xdr:cNvSpPr txBox="1">
          <a:spLocks noChangeArrowheads="1"/>
        </xdr:cNvSpPr>
      </xdr:nvSpPr>
      <xdr:spPr bwMode="auto">
        <a:xfrm>
          <a:off x="1409700" y="290874450"/>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95250</xdr:colOff>
      <xdr:row>1312</xdr:row>
      <xdr:rowOff>133350</xdr:rowOff>
    </xdr:from>
    <xdr:to>
      <xdr:col>2</xdr:col>
      <xdr:colOff>352425</xdr:colOff>
      <xdr:row>1313</xdr:row>
      <xdr:rowOff>57150</xdr:rowOff>
    </xdr:to>
    <xdr:sp macro="" textlink="">
      <xdr:nvSpPr>
        <xdr:cNvPr id="454" name="Text Box 245"/>
        <xdr:cNvSpPr txBox="1">
          <a:spLocks noChangeArrowheads="1"/>
        </xdr:cNvSpPr>
      </xdr:nvSpPr>
      <xdr:spPr bwMode="auto">
        <a:xfrm>
          <a:off x="1390650" y="28735972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76200</xdr:colOff>
      <xdr:row>1315</xdr:row>
      <xdr:rowOff>114300</xdr:rowOff>
    </xdr:from>
    <xdr:to>
      <xdr:col>2</xdr:col>
      <xdr:colOff>333375</xdr:colOff>
      <xdr:row>1316</xdr:row>
      <xdr:rowOff>47625</xdr:rowOff>
    </xdr:to>
    <xdr:sp macro="" textlink="">
      <xdr:nvSpPr>
        <xdr:cNvPr id="455" name="Text Box 245"/>
        <xdr:cNvSpPr txBox="1">
          <a:spLocks noChangeArrowheads="1"/>
        </xdr:cNvSpPr>
      </xdr:nvSpPr>
      <xdr:spPr bwMode="auto">
        <a:xfrm>
          <a:off x="1371600" y="28796932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180975</xdr:colOff>
      <xdr:row>1299</xdr:row>
      <xdr:rowOff>95250</xdr:rowOff>
    </xdr:from>
    <xdr:to>
      <xdr:col>2</xdr:col>
      <xdr:colOff>438150</xdr:colOff>
      <xdr:row>1300</xdr:row>
      <xdr:rowOff>9525</xdr:rowOff>
    </xdr:to>
    <xdr:sp macro="" textlink="">
      <xdr:nvSpPr>
        <xdr:cNvPr id="456" name="Text Box 245"/>
        <xdr:cNvSpPr txBox="1">
          <a:spLocks noChangeArrowheads="1"/>
        </xdr:cNvSpPr>
      </xdr:nvSpPr>
      <xdr:spPr bwMode="auto">
        <a:xfrm>
          <a:off x="1476375" y="28433077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219075</xdr:colOff>
      <xdr:row>1283</xdr:row>
      <xdr:rowOff>133350</xdr:rowOff>
    </xdr:from>
    <xdr:to>
      <xdr:col>2</xdr:col>
      <xdr:colOff>476250</xdr:colOff>
      <xdr:row>1284</xdr:row>
      <xdr:rowOff>47625</xdr:rowOff>
    </xdr:to>
    <xdr:sp macro="" textlink="">
      <xdr:nvSpPr>
        <xdr:cNvPr id="457" name="Text Box 245"/>
        <xdr:cNvSpPr txBox="1">
          <a:spLocks noChangeArrowheads="1"/>
        </xdr:cNvSpPr>
      </xdr:nvSpPr>
      <xdr:spPr bwMode="auto">
        <a:xfrm>
          <a:off x="1514475" y="281073225"/>
          <a:ext cx="257175"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47625</xdr:colOff>
      <xdr:row>1147</xdr:row>
      <xdr:rowOff>152400</xdr:rowOff>
    </xdr:from>
    <xdr:to>
      <xdr:col>2</xdr:col>
      <xdr:colOff>304800</xdr:colOff>
      <xdr:row>1148</xdr:row>
      <xdr:rowOff>76200</xdr:rowOff>
    </xdr:to>
    <xdr:sp macro="" textlink="">
      <xdr:nvSpPr>
        <xdr:cNvPr id="458" name="Text Box 9"/>
        <xdr:cNvSpPr txBox="1">
          <a:spLocks noChangeArrowheads="1"/>
        </xdr:cNvSpPr>
      </xdr:nvSpPr>
      <xdr:spPr bwMode="auto">
        <a:xfrm>
          <a:off x="1343025" y="252355350"/>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485775</xdr:colOff>
      <xdr:row>3250</xdr:row>
      <xdr:rowOff>123825</xdr:rowOff>
    </xdr:from>
    <xdr:to>
      <xdr:col>2</xdr:col>
      <xdr:colOff>742950</xdr:colOff>
      <xdr:row>3251</xdr:row>
      <xdr:rowOff>28575</xdr:rowOff>
    </xdr:to>
    <xdr:sp macro="" textlink="">
      <xdr:nvSpPr>
        <xdr:cNvPr id="316" name="Text Box 69"/>
        <xdr:cNvSpPr txBox="1">
          <a:spLocks noChangeArrowheads="1"/>
        </xdr:cNvSpPr>
      </xdr:nvSpPr>
      <xdr:spPr bwMode="auto">
        <a:xfrm>
          <a:off x="1781175" y="722680800"/>
          <a:ext cx="257175"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285750</xdr:colOff>
      <xdr:row>3957</xdr:row>
      <xdr:rowOff>133350</xdr:rowOff>
    </xdr:from>
    <xdr:to>
      <xdr:col>2</xdr:col>
      <xdr:colOff>542925</xdr:colOff>
      <xdr:row>3958</xdr:row>
      <xdr:rowOff>95250</xdr:rowOff>
    </xdr:to>
    <xdr:sp macro="" textlink="">
      <xdr:nvSpPr>
        <xdr:cNvPr id="317" name="Text Box 131"/>
        <xdr:cNvSpPr txBox="1">
          <a:spLocks noChangeArrowheads="1"/>
        </xdr:cNvSpPr>
      </xdr:nvSpPr>
      <xdr:spPr bwMode="auto">
        <a:xfrm>
          <a:off x="1581150" y="879833775"/>
          <a:ext cx="257175"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526</xdr:row>
      <xdr:rowOff>0</xdr:rowOff>
    </xdr:from>
    <xdr:to>
      <xdr:col>2</xdr:col>
      <xdr:colOff>342900</xdr:colOff>
      <xdr:row>526</xdr:row>
      <xdr:rowOff>0</xdr:rowOff>
    </xdr:to>
    <xdr:sp macro="" textlink="">
      <xdr:nvSpPr>
        <xdr:cNvPr id="13313" name="Text Box 1"/>
        <xdr:cNvSpPr txBox="1">
          <a:spLocks noChangeArrowheads="1"/>
        </xdr:cNvSpPr>
      </xdr:nvSpPr>
      <xdr:spPr bwMode="auto">
        <a:xfrm>
          <a:off x="4781550" y="901636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526</xdr:row>
      <xdr:rowOff>0</xdr:rowOff>
    </xdr:from>
    <xdr:to>
      <xdr:col>2</xdr:col>
      <xdr:colOff>342900</xdr:colOff>
      <xdr:row>526</xdr:row>
      <xdr:rowOff>0</xdr:rowOff>
    </xdr:to>
    <xdr:sp macro="" textlink="">
      <xdr:nvSpPr>
        <xdr:cNvPr id="13314" name="Text Box 2"/>
        <xdr:cNvSpPr txBox="1">
          <a:spLocks noChangeArrowheads="1"/>
        </xdr:cNvSpPr>
      </xdr:nvSpPr>
      <xdr:spPr bwMode="auto">
        <a:xfrm>
          <a:off x="4781550" y="901636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561975</xdr:colOff>
      <xdr:row>14</xdr:row>
      <xdr:rowOff>133350</xdr:rowOff>
    </xdr:from>
    <xdr:to>
      <xdr:col>2</xdr:col>
      <xdr:colOff>819150</xdr:colOff>
      <xdr:row>16</xdr:row>
      <xdr:rowOff>9525</xdr:rowOff>
    </xdr:to>
    <xdr:sp macro="" textlink="">
      <xdr:nvSpPr>
        <xdr:cNvPr id="2" name="Text Box 306"/>
        <xdr:cNvSpPr txBox="1">
          <a:spLocks noChangeArrowheads="1"/>
        </xdr:cNvSpPr>
      </xdr:nvSpPr>
      <xdr:spPr bwMode="auto">
        <a:xfrm>
          <a:off x="1857375" y="971073750"/>
          <a:ext cx="257175" cy="2571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40</xdr:row>
      <xdr:rowOff>152400</xdr:rowOff>
    </xdr:from>
    <xdr:to>
      <xdr:col>2</xdr:col>
      <xdr:colOff>342900</xdr:colOff>
      <xdr:row>41</xdr:row>
      <xdr:rowOff>57150</xdr:rowOff>
    </xdr:to>
    <xdr:sp macro="" textlink="">
      <xdr:nvSpPr>
        <xdr:cNvPr id="3" name="Text Box 114"/>
        <xdr:cNvSpPr txBox="1">
          <a:spLocks noChangeArrowheads="1"/>
        </xdr:cNvSpPr>
      </xdr:nvSpPr>
      <xdr:spPr bwMode="auto">
        <a:xfrm>
          <a:off x="1381125" y="1106338275"/>
          <a:ext cx="257175" cy="952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92</xdr:row>
      <xdr:rowOff>152400</xdr:rowOff>
    </xdr:from>
    <xdr:to>
      <xdr:col>2</xdr:col>
      <xdr:colOff>342900</xdr:colOff>
      <xdr:row>93</xdr:row>
      <xdr:rowOff>57150</xdr:rowOff>
    </xdr:to>
    <xdr:sp macro="" textlink="">
      <xdr:nvSpPr>
        <xdr:cNvPr id="4" name="Text Box 119"/>
        <xdr:cNvSpPr txBox="1">
          <a:spLocks noChangeArrowheads="1"/>
        </xdr:cNvSpPr>
      </xdr:nvSpPr>
      <xdr:spPr bwMode="auto">
        <a:xfrm>
          <a:off x="1381125" y="1116244275"/>
          <a:ext cx="257175" cy="952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134</xdr:row>
      <xdr:rowOff>133350</xdr:rowOff>
    </xdr:from>
    <xdr:to>
      <xdr:col>2</xdr:col>
      <xdr:colOff>342900</xdr:colOff>
      <xdr:row>135</xdr:row>
      <xdr:rowOff>57150</xdr:rowOff>
    </xdr:to>
    <xdr:sp macro="" textlink="">
      <xdr:nvSpPr>
        <xdr:cNvPr id="5" name="Text Box 124"/>
        <xdr:cNvSpPr txBox="1">
          <a:spLocks noChangeArrowheads="1"/>
        </xdr:cNvSpPr>
      </xdr:nvSpPr>
      <xdr:spPr bwMode="auto">
        <a:xfrm>
          <a:off x="1381125" y="11242262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139</xdr:row>
      <xdr:rowOff>133350</xdr:rowOff>
    </xdr:from>
    <xdr:to>
      <xdr:col>2</xdr:col>
      <xdr:colOff>342900</xdr:colOff>
      <xdr:row>140</xdr:row>
      <xdr:rowOff>57150</xdr:rowOff>
    </xdr:to>
    <xdr:sp macro="" textlink="">
      <xdr:nvSpPr>
        <xdr:cNvPr id="6" name="Text Box 125"/>
        <xdr:cNvSpPr txBox="1">
          <a:spLocks noChangeArrowheads="1"/>
        </xdr:cNvSpPr>
      </xdr:nvSpPr>
      <xdr:spPr bwMode="auto">
        <a:xfrm>
          <a:off x="1381125" y="11251787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152</xdr:row>
      <xdr:rowOff>133350</xdr:rowOff>
    </xdr:from>
    <xdr:to>
      <xdr:col>2</xdr:col>
      <xdr:colOff>342900</xdr:colOff>
      <xdr:row>153</xdr:row>
      <xdr:rowOff>57150</xdr:rowOff>
    </xdr:to>
    <xdr:sp macro="" textlink="">
      <xdr:nvSpPr>
        <xdr:cNvPr id="7" name="Text Box 126"/>
        <xdr:cNvSpPr txBox="1">
          <a:spLocks noChangeArrowheads="1"/>
        </xdr:cNvSpPr>
      </xdr:nvSpPr>
      <xdr:spPr bwMode="auto">
        <a:xfrm>
          <a:off x="1381125" y="11276552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139</xdr:row>
      <xdr:rowOff>133350</xdr:rowOff>
    </xdr:from>
    <xdr:to>
      <xdr:col>2</xdr:col>
      <xdr:colOff>342900</xdr:colOff>
      <xdr:row>140</xdr:row>
      <xdr:rowOff>57150</xdr:rowOff>
    </xdr:to>
    <xdr:sp macro="" textlink="">
      <xdr:nvSpPr>
        <xdr:cNvPr id="8" name="Text Box 127"/>
        <xdr:cNvSpPr txBox="1">
          <a:spLocks noChangeArrowheads="1"/>
        </xdr:cNvSpPr>
      </xdr:nvSpPr>
      <xdr:spPr bwMode="auto">
        <a:xfrm>
          <a:off x="1381125" y="11251787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165</xdr:row>
      <xdr:rowOff>133350</xdr:rowOff>
    </xdr:from>
    <xdr:to>
      <xdr:col>2</xdr:col>
      <xdr:colOff>342900</xdr:colOff>
      <xdr:row>166</xdr:row>
      <xdr:rowOff>57150</xdr:rowOff>
    </xdr:to>
    <xdr:sp macro="" textlink="">
      <xdr:nvSpPr>
        <xdr:cNvPr id="9" name="Text Box 128"/>
        <xdr:cNvSpPr txBox="1">
          <a:spLocks noChangeArrowheads="1"/>
        </xdr:cNvSpPr>
      </xdr:nvSpPr>
      <xdr:spPr bwMode="auto">
        <a:xfrm>
          <a:off x="1381125" y="11301317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103</xdr:row>
      <xdr:rowOff>133350</xdr:rowOff>
    </xdr:from>
    <xdr:to>
      <xdr:col>2</xdr:col>
      <xdr:colOff>342900</xdr:colOff>
      <xdr:row>104</xdr:row>
      <xdr:rowOff>57150</xdr:rowOff>
    </xdr:to>
    <xdr:sp macro="" textlink="">
      <xdr:nvSpPr>
        <xdr:cNvPr id="10" name="Text Box 133"/>
        <xdr:cNvSpPr txBox="1">
          <a:spLocks noChangeArrowheads="1"/>
        </xdr:cNvSpPr>
      </xdr:nvSpPr>
      <xdr:spPr bwMode="auto">
        <a:xfrm>
          <a:off x="1381125" y="11183207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115</xdr:row>
      <xdr:rowOff>133350</xdr:rowOff>
    </xdr:from>
    <xdr:to>
      <xdr:col>2</xdr:col>
      <xdr:colOff>342900</xdr:colOff>
      <xdr:row>116</xdr:row>
      <xdr:rowOff>57150</xdr:rowOff>
    </xdr:to>
    <xdr:sp macro="" textlink="">
      <xdr:nvSpPr>
        <xdr:cNvPr id="11" name="Text Box 134"/>
        <xdr:cNvSpPr txBox="1">
          <a:spLocks noChangeArrowheads="1"/>
        </xdr:cNvSpPr>
      </xdr:nvSpPr>
      <xdr:spPr bwMode="auto">
        <a:xfrm>
          <a:off x="1381125" y="11206067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200025</xdr:colOff>
      <xdr:row>66</xdr:row>
      <xdr:rowOff>161925</xdr:rowOff>
    </xdr:from>
    <xdr:to>
      <xdr:col>2</xdr:col>
      <xdr:colOff>457200</xdr:colOff>
      <xdr:row>67</xdr:row>
      <xdr:rowOff>66675</xdr:rowOff>
    </xdr:to>
    <xdr:sp macro="" textlink="">
      <xdr:nvSpPr>
        <xdr:cNvPr id="12" name="Text Box 164"/>
        <xdr:cNvSpPr txBox="1">
          <a:spLocks noChangeArrowheads="1"/>
        </xdr:cNvSpPr>
      </xdr:nvSpPr>
      <xdr:spPr bwMode="auto">
        <a:xfrm>
          <a:off x="1495425" y="1111300800"/>
          <a:ext cx="257175" cy="952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152400</xdr:colOff>
      <xdr:row>78</xdr:row>
      <xdr:rowOff>133350</xdr:rowOff>
    </xdr:from>
    <xdr:to>
      <xdr:col>2</xdr:col>
      <xdr:colOff>409575</xdr:colOff>
      <xdr:row>79</xdr:row>
      <xdr:rowOff>66675</xdr:rowOff>
    </xdr:to>
    <xdr:sp macro="" textlink="">
      <xdr:nvSpPr>
        <xdr:cNvPr id="13" name="Text Box 165"/>
        <xdr:cNvSpPr txBox="1">
          <a:spLocks noChangeArrowheads="1"/>
        </xdr:cNvSpPr>
      </xdr:nvSpPr>
      <xdr:spPr bwMode="auto">
        <a:xfrm>
          <a:off x="1447800" y="1113558225"/>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142875</xdr:colOff>
      <xdr:row>190</xdr:row>
      <xdr:rowOff>123825</xdr:rowOff>
    </xdr:from>
    <xdr:to>
      <xdr:col>2</xdr:col>
      <xdr:colOff>400050</xdr:colOff>
      <xdr:row>191</xdr:row>
      <xdr:rowOff>114300</xdr:rowOff>
    </xdr:to>
    <xdr:sp macro="" textlink="">
      <xdr:nvSpPr>
        <xdr:cNvPr id="14" name="Text Box 167"/>
        <xdr:cNvSpPr txBox="1">
          <a:spLocks noChangeArrowheads="1"/>
        </xdr:cNvSpPr>
      </xdr:nvSpPr>
      <xdr:spPr bwMode="auto">
        <a:xfrm>
          <a:off x="1438275" y="1134884700"/>
          <a:ext cx="257175" cy="180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161925</xdr:colOff>
      <xdr:row>205</xdr:row>
      <xdr:rowOff>85725</xdr:rowOff>
    </xdr:from>
    <xdr:to>
      <xdr:col>2</xdr:col>
      <xdr:colOff>419100</xdr:colOff>
      <xdr:row>206</xdr:row>
      <xdr:rowOff>66675</xdr:rowOff>
    </xdr:to>
    <xdr:sp macro="" textlink="">
      <xdr:nvSpPr>
        <xdr:cNvPr id="15" name="Text Box 168"/>
        <xdr:cNvSpPr txBox="1">
          <a:spLocks noChangeArrowheads="1"/>
        </xdr:cNvSpPr>
      </xdr:nvSpPr>
      <xdr:spPr bwMode="auto">
        <a:xfrm>
          <a:off x="1457325" y="1137704100"/>
          <a:ext cx="257175"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142875</xdr:colOff>
      <xdr:row>222</xdr:row>
      <xdr:rowOff>114300</xdr:rowOff>
    </xdr:from>
    <xdr:to>
      <xdr:col>2</xdr:col>
      <xdr:colOff>400050</xdr:colOff>
      <xdr:row>223</xdr:row>
      <xdr:rowOff>85725</xdr:rowOff>
    </xdr:to>
    <xdr:sp macro="" textlink="">
      <xdr:nvSpPr>
        <xdr:cNvPr id="16" name="Text Box 170"/>
        <xdr:cNvSpPr txBox="1">
          <a:spLocks noChangeArrowheads="1"/>
        </xdr:cNvSpPr>
      </xdr:nvSpPr>
      <xdr:spPr bwMode="auto">
        <a:xfrm>
          <a:off x="1438275" y="1140971175"/>
          <a:ext cx="257175" cy="161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17" name="Text Box 188"/>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18" name="Text Box 189"/>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19" name="Text Box 190"/>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20" name="Text Box 191"/>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21" name="Text Box 192"/>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22" name="Text Box 193"/>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23" name="Text Box 194"/>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24" name="Text Box 195"/>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sp>
    <xdr:clientData/>
  </xdr:twoCellAnchor>
  <xdr:twoCellAnchor>
    <xdr:from>
      <xdr:col>2</xdr:col>
      <xdr:colOff>85725</xdr:colOff>
      <xdr:row>417</xdr:row>
      <xdr:rowOff>0</xdr:rowOff>
    </xdr:from>
    <xdr:to>
      <xdr:col>2</xdr:col>
      <xdr:colOff>342900</xdr:colOff>
      <xdr:row>417</xdr:row>
      <xdr:rowOff>0</xdr:rowOff>
    </xdr:to>
    <xdr:sp macro="" textlink="">
      <xdr:nvSpPr>
        <xdr:cNvPr id="25" name="Text Box 196"/>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26" name="Text Box 197"/>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a:p>
          <a:pPr algn="l" rtl="0">
            <a:defRPr sz="1000"/>
          </a:pPr>
          <a:endParaRPr lang="en-US" sz="1000" b="0" i="0" strike="noStrike">
            <a:solidFill>
              <a:srgbClr val="000000"/>
            </a:solidFill>
            <a:latin typeface="Arial"/>
            <a:cs typeface="Arial"/>
          </a:endParaRP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27" name="Text Box 199"/>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104775</xdr:colOff>
      <xdr:row>417</xdr:row>
      <xdr:rowOff>0</xdr:rowOff>
    </xdr:from>
    <xdr:to>
      <xdr:col>2</xdr:col>
      <xdr:colOff>361950</xdr:colOff>
      <xdr:row>417</xdr:row>
      <xdr:rowOff>0</xdr:rowOff>
    </xdr:to>
    <xdr:sp macro="" textlink="">
      <xdr:nvSpPr>
        <xdr:cNvPr id="28" name="Text Box 201"/>
        <xdr:cNvSpPr txBox="1">
          <a:spLocks noChangeArrowheads="1"/>
        </xdr:cNvSpPr>
      </xdr:nvSpPr>
      <xdr:spPr bwMode="auto">
        <a:xfrm>
          <a:off x="140017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29" name="Text Box 203"/>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30" name="Text Box 204"/>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31" name="Text Box 205"/>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32" name="Text Box 206"/>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33" name="Text Box 209"/>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34" name="Text Box 210"/>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35" name="Text Box 211"/>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36" name="Text Box 269"/>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417</xdr:row>
      <xdr:rowOff>0</xdr:rowOff>
    </xdr:from>
    <xdr:to>
      <xdr:col>2</xdr:col>
      <xdr:colOff>342900</xdr:colOff>
      <xdr:row>417</xdr:row>
      <xdr:rowOff>0</xdr:rowOff>
    </xdr:to>
    <xdr:sp macro="" textlink="">
      <xdr:nvSpPr>
        <xdr:cNvPr id="37" name="Text Box 270"/>
        <xdr:cNvSpPr txBox="1">
          <a:spLocks noChangeArrowheads="1"/>
        </xdr:cNvSpPr>
      </xdr:nvSpPr>
      <xdr:spPr bwMode="auto">
        <a:xfrm>
          <a:off x="1381125" y="1178004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294</xdr:row>
      <xdr:rowOff>133350</xdr:rowOff>
    </xdr:from>
    <xdr:to>
      <xdr:col>2</xdr:col>
      <xdr:colOff>342900</xdr:colOff>
      <xdr:row>295</xdr:row>
      <xdr:rowOff>57150</xdr:rowOff>
    </xdr:to>
    <xdr:sp macro="" textlink="">
      <xdr:nvSpPr>
        <xdr:cNvPr id="38" name="Text Box 283"/>
        <xdr:cNvSpPr txBox="1">
          <a:spLocks noChangeArrowheads="1"/>
        </xdr:cNvSpPr>
      </xdr:nvSpPr>
      <xdr:spPr bwMode="auto">
        <a:xfrm>
          <a:off x="1381125" y="11547062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133350</xdr:colOff>
      <xdr:row>395</xdr:row>
      <xdr:rowOff>133350</xdr:rowOff>
    </xdr:from>
    <xdr:to>
      <xdr:col>2</xdr:col>
      <xdr:colOff>390525</xdr:colOff>
      <xdr:row>396</xdr:row>
      <xdr:rowOff>171450</xdr:rowOff>
    </xdr:to>
    <xdr:sp macro="" textlink="">
      <xdr:nvSpPr>
        <xdr:cNvPr id="39" name="Text Box 284"/>
        <xdr:cNvSpPr txBox="1">
          <a:spLocks noChangeArrowheads="1"/>
        </xdr:cNvSpPr>
      </xdr:nvSpPr>
      <xdr:spPr bwMode="auto">
        <a:xfrm>
          <a:off x="1428750" y="1173946725"/>
          <a:ext cx="257175"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314</xdr:row>
      <xdr:rowOff>123825</xdr:rowOff>
    </xdr:from>
    <xdr:to>
      <xdr:col>2</xdr:col>
      <xdr:colOff>342900</xdr:colOff>
      <xdr:row>315</xdr:row>
      <xdr:rowOff>57150</xdr:rowOff>
    </xdr:to>
    <xdr:sp macro="" textlink="">
      <xdr:nvSpPr>
        <xdr:cNvPr id="40" name="Text Box 290"/>
        <xdr:cNvSpPr txBox="1">
          <a:spLocks noChangeArrowheads="1"/>
        </xdr:cNvSpPr>
      </xdr:nvSpPr>
      <xdr:spPr bwMode="auto">
        <a:xfrm>
          <a:off x="1381125" y="1158506700"/>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319</xdr:row>
      <xdr:rowOff>133350</xdr:rowOff>
    </xdr:from>
    <xdr:to>
      <xdr:col>2</xdr:col>
      <xdr:colOff>342900</xdr:colOff>
      <xdr:row>320</xdr:row>
      <xdr:rowOff>47625</xdr:rowOff>
    </xdr:to>
    <xdr:sp macro="" textlink="">
      <xdr:nvSpPr>
        <xdr:cNvPr id="41" name="Text Box 291"/>
        <xdr:cNvSpPr txBox="1">
          <a:spLocks noChangeArrowheads="1"/>
        </xdr:cNvSpPr>
      </xdr:nvSpPr>
      <xdr:spPr bwMode="auto">
        <a:xfrm>
          <a:off x="1381125" y="1159468725"/>
          <a:ext cx="257175" cy="1047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337</xdr:row>
      <xdr:rowOff>133350</xdr:rowOff>
    </xdr:from>
    <xdr:to>
      <xdr:col>2</xdr:col>
      <xdr:colOff>342900</xdr:colOff>
      <xdr:row>338</xdr:row>
      <xdr:rowOff>57150</xdr:rowOff>
    </xdr:to>
    <xdr:sp macro="" textlink="">
      <xdr:nvSpPr>
        <xdr:cNvPr id="42" name="Text Box 292"/>
        <xdr:cNvSpPr txBox="1">
          <a:spLocks noChangeArrowheads="1"/>
        </xdr:cNvSpPr>
      </xdr:nvSpPr>
      <xdr:spPr bwMode="auto">
        <a:xfrm>
          <a:off x="1381125" y="11628977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444</xdr:row>
      <xdr:rowOff>152400</xdr:rowOff>
    </xdr:from>
    <xdr:to>
      <xdr:col>2</xdr:col>
      <xdr:colOff>342900</xdr:colOff>
      <xdr:row>445</xdr:row>
      <xdr:rowOff>66675</xdr:rowOff>
    </xdr:to>
    <xdr:sp macro="" textlink="">
      <xdr:nvSpPr>
        <xdr:cNvPr id="43" name="Text Box 293"/>
        <xdr:cNvSpPr txBox="1">
          <a:spLocks noChangeArrowheads="1"/>
        </xdr:cNvSpPr>
      </xdr:nvSpPr>
      <xdr:spPr bwMode="auto">
        <a:xfrm>
          <a:off x="1381125" y="1183300275"/>
          <a:ext cx="257175" cy="1047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356</xdr:row>
      <xdr:rowOff>123825</xdr:rowOff>
    </xdr:from>
    <xdr:to>
      <xdr:col>2</xdr:col>
      <xdr:colOff>342900</xdr:colOff>
      <xdr:row>357</xdr:row>
      <xdr:rowOff>57150</xdr:rowOff>
    </xdr:to>
    <xdr:sp macro="" textlink="">
      <xdr:nvSpPr>
        <xdr:cNvPr id="44" name="Text Box 315"/>
        <xdr:cNvSpPr txBox="1">
          <a:spLocks noChangeArrowheads="1"/>
        </xdr:cNvSpPr>
      </xdr:nvSpPr>
      <xdr:spPr bwMode="auto">
        <a:xfrm>
          <a:off x="1381125" y="1166507700"/>
          <a:ext cx="2571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373</xdr:row>
      <xdr:rowOff>123825</xdr:rowOff>
    </xdr:from>
    <xdr:to>
      <xdr:col>2</xdr:col>
      <xdr:colOff>342900</xdr:colOff>
      <xdr:row>374</xdr:row>
      <xdr:rowOff>47625</xdr:rowOff>
    </xdr:to>
    <xdr:sp macro="" textlink="">
      <xdr:nvSpPr>
        <xdr:cNvPr id="45" name="Text Box 316"/>
        <xdr:cNvSpPr txBox="1">
          <a:spLocks noChangeArrowheads="1"/>
        </xdr:cNvSpPr>
      </xdr:nvSpPr>
      <xdr:spPr bwMode="auto">
        <a:xfrm>
          <a:off x="1381125" y="1169746200"/>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472</xdr:row>
      <xdr:rowOff>133350</xdr:rowOff>
    </xdr:from>
    <xdr:to>
      <xdr:col>2</xdr:col>
      <xdr:colOff>342900</xdr:colOff>
      <xdr:row>473</xdr:row>
      <xdr:rowOff>57150</xdr:rowOff>
    </xdr:to>
    <xdr:sp macro="" textlink="">
      <xdr:nvSpPr>
        <xdr:cNvPr id="47" name="Text Box 336"/>
        <xdr:cNvSpPr txBox="1">
          <a:spLocks noChangeArrowheads="1"/>
        </xdr:cNvSpPr>
      </xdr:nvSpPr>
      <xdr:spPr bwMode="auto">
        <a:xfrm>
          <a:off x="1381125" y="1188615225"/>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493</xdr:row>
      <xdr:rowOff>0</xdr:rowOff>
    </xdr:from>
    <xdr:to>
      <xdr:col>2</xdr:col>
      <xdr:colOff>342900</xdr:colOff>
      <xdr:row>493</xdr:row>
      <xdr:rowOff>0</xdr:rowOff>
    </xdr:to>
    <xdr:sp macro="" textlink="">
      <xdr:nvSpPr>
        <xdr:cNvPr id="48" name="Text Box 337"/>
        <xdr:cNvSpPr txBox="1">
          <a:spLocks noChangeArrowheads="1"/>
        </xdr:cNvSpPr>
      </xdr:nvSpPr>
      <xdr:spPr bwMode="auto">
        <a:xfrm>
          <a:off x="1381125" y="1192482375"/>
          <a:ext cx="257175" cy="0"/>
        </a:xfrm>
        <a:prstGeom prst="rect">
          <a:avLst/>
        </a:prstGeom>
        <a:solidFill>
          <a:srgbClr val="FFFFFF"/>
        </a:solidFill>
        <a:ln w="9525">
          <a:noFill/>
          <a:miter lim="800000"/>
          <a:headEnd/>
          <a:tailEnd/>
        </a:ln>
      </xdr:spPr>
    </xdr:sp>
    <xdr:clientData/>
  </xdr:twoCellAnchor>
  <xdr:twoCellAnchor>
    <xdr:from>
      <xdr:col>2</xdr:col>
      <xdr:colOff>85725</xdr:colOff>
      <xdr:row>493</xdr:row>
      <xdr:rowOff>0</xdr:rowOff>
    </xdr:from>
    <xdr:to>
      <xdr:col>2</xdr:col>
      <xdr:colOff>342900</xdr:colOff>
      <xdr:row>493</xdr:row>
      <xdr:rowOff>0</xdr:rowOff>
    </xdr:to>
    <xdr:sp macro="" textlink="">
      <xdr:nvSpPr>
        <xdr:cNvPr id="49" name="Text Box 338"/>
        <xdr:cNvSpPr txBox="1">
          <a:spLocks noChangeArrowheads="1"/>
        </xdr:cNvSpPr>
      </xdr:nvSpPr>
      <xdr:spPr bwMode="auto">
        <a:xfrm>
          <a:off x="1381125" y="1192482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493</xdr:row>
      <xdr:rowOff>0</xdr:rowOff>
    </xdr:from>
    <xdr:to>
      <xdr:col>2</xdr:col>
      <xdr:colOff>276225</xdr:colOff>
      <xdr:row>493</xdr:row>
      <xdr:rowOff>0</xdr:rowOff>
    </xdr:to>
    <xdr:sp macro="" textlink="">
      <xdr:nvSpPr>
        <xdr:cNvPr id="50" name="Text Box 339"/>
        <xdr:cNvSpPr txBox="1">
          <a:spLocks noChangeArrowheads="1"/>
        </xdr:cNvSpPr>
      </xdr:nvSpPr>
      <xdr:spPr bwMode="auto">
        <a:xfrm>
          <a:off x="1381125" y="11924823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493</xdr:row>
      <xdr:rowOff>0</xdr:rowOff>
    </xdr:from>
    <xdr:to>
      <xdr:col>2</xdr:col>
      <xdr:colOff>342900</xdr:colOff>
      <xdr:row>493</xdr:row>
      <xdr:rowOff>0</xdr:rowOff>
    </xdr:to>
    <xdr:sp macro="" textlink="">
      <xdr:nvSpPr>
        <xdr:cNvPr id="51" name="Text Box 340"/>
        <xdr:cNvSpPr txBox="1">
          <a:spLocks noChangeArrowheads="1"/>
        </xdr:cNvSpPr>
      </xdr:nvSpPr>
      <xdr:spPr bwMode="auto">
        <a:xfrm>
          <a:off x="1381125" y="1192482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510</xdr:row>
      <xdr:rowOff>0</xdr:rowOff>
    </xdr:from>
    <xdr:to>
      <xdr:col>2</xdr:col>
      <xdr:colOff>342900</xdr:colOff>
      <xdr:row>510</xdr:row>
      <xdr:rowOff>0</xdr:rowOff>
    </xdr:to>
    <xdr:sp macro="" textlink="">
      <xdr:nvSpPr>
        <xdr:cNvPr id="52" name="Text Box 341"/>
        <xdr:cNvSpPr txBox="1">
          <a:spLocks noChangeArrowheads="1"/>
        </xdr:cNvSpPr>
      </xdr:nvSpPr>
      <xdr:spPr bwMode="auto">
        <a:xfrm>
          <a:off x="1381125" y="1195720875"/>
          <a:ext cx="257175" cy="0"/>
        </a:xfrm>
        <a:prstGeom prst="rect">
          <a:avLst/>
        </a:prstGeom>
        <a:solidFill>
          <a:srgbClr val="FFFFFF"/>
        </a:solidFill>
        <a:ln w="9525">
          <a:noFill/>
          <a:miter lim="800000"/>
          <a:headEnd/>
          <a:tailEnd/>
        </a:ln>
      </xdr:spPr>
    </xdr:sp>
    <xdr:clientData/>
  </xdr:twoCellAnchor>
  <xdr:twoCellAnchor>
    <xdr:from>
      <xdr:col>2</xdr:col>
      <xdr:colOff>85725</xdr:colOff>
      <xdr:row>510</xdr:row>
      <xdr:rowOff>0</xdr:rowOff>
    </xdr:from>
    <xdr:to>
      <xdr:col>2</xdr:col>
      <xdr:colOff>342900</xdr:colOff>
      <xdr:row>510</xdr:row>
      <xdr:rowOff>0</xdr:rowOff>
    </xdr:to>
    <xdr:sp macro="" textlink="">
      <xdr:nvSpPr>
        <xdr:cNvPr id="53" name="Text Box 342"/>
        <xdr:cNvSpPr txBox="1">
          <a:spLocks noChangeArrowheads="1"/>
        </xdr:cNvSpPr>
      </xdr:nvSpPr>
      <xdr:spPr bwMode="auto">
        <a:xfrm>
          <a:off x="1381125" y="1195720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510</xdr:row>
      <xdr:rowOff>0</xdr:rowOff>
    </xdr:from>
    <xdr:to>
      <xdr:col>2</xdr:col>
      <xdr:colOff>276225</xdr:colOff>
      <xdr:row>510</xdr:row>
      <xdr:rowOff>0</xdr:rowOff>
    </xdr:to>
    <xdr:sp macro="" textlink="">
      <xdr:nvSpPr>
        <xdr:cNvPr id="54" name="Text Box 343"/>
        <xdr:cNvSpPr txBox="1">
          <a:spLocks noChangeArrowheads="1"/>
        </xdr:cNvSpPr>
      </xdr:nvSpPr>
      <xdr:spPr bwMode="auto">
        <a:xfrm>
          <a:off x="1381125" y="11957208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510</xdr:row>
      <xdr:rowOff>0</xdr:rowOff>
    </xdr:from>
    <xdr:to>
      <xdr:col>2</xdr:col>
      <xdr:colOff>342900</xdr:colOff>
      <xdr:row>510</xdr:row>
      <xdr:rowOff>0</xdr:rowOff>
    </xdr:to>
    <xdr:sp macro="" textlink="">
      <xdr:nvSpPr>
        <xdr:cNvPr id="55" name="Text Box 344"/>
        <xdr:cNvSpPr txBox="1">
          <a:spLocks noChangeArrowheads="1"/>
        </xdr:cNvSpPr>
      </xdr:nvSpPr>
      <xdr:spPr bwMode="auto">
        <a:xfrm>
          <a:off x="1381125" y="1195720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527</xdr:row>
      <xdr:rowOff>0</xdr:rowOff>
    </xdr:from>
    <xdr:to>
      <xdr:col>2</xdr:col>
      <xdr:colOff>342900</xdr:colOff>
      <xdr:row>527</xdr:row>
      <xdr:rowOff>0</xdr:rowOff>
    </xdr:to>
    <xdr:sp macro="" textlink="">
      <xdr:nvSpPr>
        <xdr:cNvPr id="56" name="Text Box 345"/>
        <xdr:cNvSpPr txBox="1">
          <a:spLocks noChangeArrowheads="1"/>
        </xdr:cNvSpPr>
      </xdr:nvSpPr>
      <xdr:spPr bwMode="auto">
        <a:xfrm>
          <a:off x="1381125" y="1198959375"/>
          <a:ext cx="257175" cy="0"/>
        </a:xfrm>
        <a:prstGeom prst="rect">
          <a:avLst/>
        </a:prstGeom>
        <a:solidFill>
          <a:srgbClr val="FFFFFF"/>
        </a:solidFill>
        <a:ln w="9525">
          <a:noFill/>
          <a:miter lim="800000"/>
          <a:headEnd/>
          <a:tailEnd/>
        </a:ln>
      </xdr:spPr>
    </xdr:sp>
    <xdr:clientData/>
  </xdr:twoCellAnchor>
  <xdr:twoCellAnchor>
    <xdr:from>
      <xdr:col>2</xdr:col>
      <xdr:colOff>85725</xdr:colOff>
      <xdr:row>527</xdr:row>
      <xdr:rowOff>0</xdr:rowOff>
    </xdr:from>
    <xdr:to>
      <xdr:col>2</xdr:col>
      <xdr:colOff>342900</xdr:colOff>
      <xdr:row>527</xdr:row>
      <xdr:rowOff>0</xdr:rowOff>
    </xdr:to>
    <xdr:sp macro="" textlink="">
      <xdr:nvSpPr>
        <xdr:cNvPr id="57" name="Text Box 346"/>
        <xdr:cNvSpPr txBox="1">
          <a:spLocks noChangeArrowheads="1"/>
        </xdr:cNvSpPr>
      </xdr:nvSpPr>
      <xdr:spPr bwMode="auto">
        <a:xfrm>
          <a:off x="1381125" y="1198959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527</xdr:row>
      <xdr:rowOff>0</xdr:rowOff>
    </xdr:from>
    <xdr:to>
      <xdr:col>2</xdr:col>
      <xdr:colOff>276225</xdr:colOff>
      <xdr:row>527</xdr:row>
      <xdr:rowOff>0</xdr:rowOff>
    </xdr:to>
    <xdr:sp macro="" textlink="">
      <xdr:nvSpPr>
        <xdr:cNvPr id="58" name="Text Box 347"/>
        <xdr:cNvSpPr txBox="1">
          <a:spLocks noChangeArrowheads="1"/>
        </xdr:cNvSpPr>
      </xdr:nvSpPr>
      <xdr:spPr bwMode="auto">
        <a:xfrm>
          <a:off x="1381125" y="11989593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527</xdr:row>
      <xdr:rowOff>0</xdr:rowOff>
    </xdr:from>
    <xdr:to>
      <xdr:col>2</xdr:col>
      <xdr:colOff>342900</xdr:colOff>
      <xdr:row>527</xdr:row>
      <xdr:rowOff>0</xdr:rowOff>
    </xdr:to>
    <xdr:sp macro="" textlink="">
      <xdr:nvSpPr>
        <xdr:cNvPr id="59" name="Text Box 348"/>
        <xdr:cNvSpPr txBox="1">
          <a:spLocks noChangeArrowheads="1"/>
        </xdr:cNvSpPr>
      </xdr:nvSpPr>
      <xdr:spPr bwMode="auto">
        <a:xfrm>
          <a:off x="1381125" y="1198959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544</xdr:row>
      <xdr:rowOff>0</xdr:rowOff>
    </xdr:from>
    <xdr:to>
      <xdr:col>2</xdr:col>
      <xdr:colOff>342900</xdr:colOff>
      <xdr:row>544</xdr:row>
      <xdr:rowOff>0</xdr:rowOff>
    </xdr:to>
    <xdr:sp macro="" textlink="">
      <xdr:nvSpPr>
        <xdr:cNvPr id="60" name="Text Box 349"/>
        <xdr:cNvSpPr txBox="1">
          <a:spLocks noChangeArrowheads="1"/>
        </xdr:cNvSpPr>
      </xdr:nvSpPr>
      <xdr:spPr bwMode="auto">
        <a:xfrm>
          <a:off x="1381125" y="1202197875"/>
          <a:ext cx="257175" cy="0"/>
        </a:xfrm>
        <a:prstGeom prst="rect">
          <a:avLst/>
        </a:prstGeom>
        <a:solidFill>
          <a:srgbClr val="FFFFFF"/>
        </a:solidFill>
        <a:ln w="9525">
          <a:noFill/>
          <a:miter lim="800000"/>
          <a:headEnd/>
          <a:tailEnd/>
        </a:ln>
      </xdr:spPr>
    </xdr:sp>
    <xdr:clientData/>
  </xdr:twoCellAnchor>
  <xdr:twoCellAnchor>
    <xdr:from>
      <xdr:col>2</xdr:col>
      <xdr:colOff>85725</xdr:colOff>
      <xdr:row>544</xdr:row>
      <xdr:rowOff>0</xdr:rowOff>
    </xdr:from>
    <xdr:to>
      <xdr:col>2</xdr:col>
      <xdr:colOff>342900</xdr:colOff>
      <xdr:row>544</xdr:row>
      <xdr:rowOff>0</xdr:rowOff>
    </xdr:to>
    <xdr:sp macro="" textlink="">
      <xdr:nvSpPr>
        <xdr:cNvPr id="61" name="Text Box 350"/>
        <xdr:cNvSpPr txBox="1">
          <a:spLocks noChangeArrowheads="1"/>
        </xdr:cNvSpPr>
      </xdr:nvSpPr>
      <xdr:spPr bwMode="auto">
        <a:xfrm>
          <a:off x="1381125" y="1202197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544</xdr:row>
      <xdr:rowOff>0</xdr:rowOff>
    </xdr:from>
    <xdr:to>
      <xdr:col>2</xdr:col>
      <xdr:colOff>276225</xdr:colOff>
      <xdr:row>544</xdr:row>
      <xdr:rowOff>0</xdr:rowOff>
    </xdr:to>
    <xdr:sp macro="" textlink="">
      <xdr:nvSpPr>
        <xdr:cNvPr id="62" name="Text Box 351"/>
        <xdr:cNvSpPr txBox="1">
          <a:spLocks noChangeArrowheads="1"/>
        </xdr:cNvSpPr>
      </xdr:nvSpPr>
      <xdr:spPr bwMode="auto">
        <a:xfrm>
          <a:off x="1381125" y="12021978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544</xdr:row>
      <xdr:rowOff>0</xdr:rowOff>
    </xdr:from>
    <xdr:to>
      <xdr:col>2</xdr:col>
      <xdr:colOff>342900</xdr:colOff>
      <xdr:row>544</xdr:row>
      <xdr:rowOff>0</xdr:rowOff>
    </xdr:to>
    <xdr:sp macro="" textlink="">
      <xdr:nvSpPr>
        <xdr:cNvPr id="63" name="Text Box 352"/>
        <xdr:cNvSpPr txBox="1">
          <a:spLocks noChangeArrowheads="1"/>
        </xdr:cNvSpPr>
      </xdr:nvSpPr>
      <xdr:spPr bwMode="auto">
        <a:xfrm>
          <a:off x="1381125" y="1202197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561</xdr:row>
      <xdr:rowOff>0</xdr:rowOff>
    </xdr:from>
    <xdr:to>
      <xdr:col>2</xdr:col>
      <xdr:colOff>342900</xdr:colOff>
      <xdr:row>561</xdr:row>
      <xdr:rowOff>0</xdr:rowOff>
    </xdr:to>
    <xdr:sp macro="" textlink="">
      <xdr:nvSpPr>
        <xdr:cNvPr id="64" name="Text Box 353"/>
        <xdr:cNvSpPr txBox="1">
          <a:spLocks noChangeArrowheads="1"/>
        </xdr:cNvSpPr>
      </xdr:nvSpPr>
      <xdr:spPr bwMode="auto">
        <a:xfrm>
          <a:off x="1381125" y="1205436375"/>
          <a:ext cx="257175" cy="0"/>
        </a:xfrm>
        <a:prstGeom prst="rect">
          <a:avLst/>
        </a:prstGeom>
        <a:solidFill>
          <a:srgbClr val="FFFFFF"/>
        </a:solidFill>
        <a:ln w="9525">
          <a:noFill/>
          <a:miter lim="800000"/>
          <a:headEnd/>
          <a:tailEnd/>
        </a:ln>
      </xdr:spPr>
    </xdr:sp>
    <xdr:clientData/>
  </xdr:twoCellAnchor>
  <xdr:twoCellAnchor>
    <xdr:from>
      <xdr:col>2</xdr:col>
      <xdr:colOff>85725</xdr:colOff>
      <xdr:row>561</xdr:row>
      <xdr:rowOff>0</xdr:rowOff>
    </xdr:from>
    <xdr:to>
      <xdr:col>2</xdr:col>
      <xdr:colOff>342900</xdr:colOff>
      <xdr:row>561</xdr:row>
      <xdr:rowOff>0</xdr:rowOff>
    </xdr:to>
    <xdr:sp macro="" textlink="">
      <xdr:nvSpPr>
        <xdr:cNvPr id="65" name="Text Box 354"/>
        <xdr:cNvSpPr txBox="1">
          <a:spLocks noChangeArrowheads="1"/>
        </xdr:cNvSpPr>
      </xdr:nvSpPr>
      <xdr:spPr bwMode="auto">
        <a:xfrm>
          <a:off x="1381125" y="1205436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561</xdr:row>
      <xdr:rowOff>0</xdr:rowOff>
    </xdr:from>
    <xdr:to>
      <xdr:col>2</xdr:col>
      <xdr:colOff>276225</xdr:colOff>
      <xdr:row>561</xdr:row>
      <xdr:rowOff>0</xdr:rowOff>
    </xdr:to>
    <xdr:sp macro="" textlink="">
      <xdr:nvSpPr>
        <xdr:cNvPr id="66" name="Text Box 355"/>
        <xdr:cNvSpPr txBox="1">
          <a:spLocks noChangeArrowheads="1"/>
        </xdr:cNvSpPr>
      </xdr:nvSpPr>
      <xdr:spPr bwMode="auto">
        <a:xfrm>
          <a:off x="1381125" y="12054363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561</xdr:row>
      <xdr:rowOff>0</xdr:rowOff>
    </xdr:from>
    <xdr:to>
      <xdr:col>2</xdr:col>
      <xdr:colOff>342900</xdr:colOff>
      <xdr:row>561</xdr:row>
      <xdr:rowOff>0</xdr:rowOff>
    </xdr:to>
    <xdr:sp macro="" textlink="">
      <xdr:nvSpPr>
        <xdr:cNvPr id="67" name="Text Box 356"/>
        <xdr:cNvSpPr txBox="1">
          <a:spLocks noChangeArrowheads="1"/>
        </xdr:cNvSpPr>
      </xdr:nvSpPr>
      <xdr:spPr bwMode="auto">
        <a:xfrm>
          <a:off x="1381125" y="1205436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570</xdr:row>
      <xdr:rowOff>0</xdr:rowOff>
    </xdr:from>
    <xdr:to>
      <xdr:col>2</xdr:col>
      <xdr:colOff>342900</xdr:colOff>
      <xdr:row>570</xdr:row>
      <xdr:rowOff>0</xdr:rowOff>
    </xdr:to>
    <xdr:sp macro="" textlink="">
      <xdr:nvSpPr>
        <xdr:cNvPr id="68" name="Text Box 357"/>
        <xdr:cNvSpPr txBox="1">
          <a:spLocks noChangeArrowheads="1"/>
        </xdr:cNvSpPr>
      </xdr:nvSpPr>
      <xdr:spPr bwMode="auto">
        <a:xfrm>
          <a:off x="1381125" y="1207150875"/>
          <a:ext cx="257175" cy="0"/>
        </a:xfrm>
        <a:prstGeom prst="rect">
          <a:avLst/>
        </a:prstGeom>
        <a:solidFill>
          <a:srgbClr val="FFFFFF"/>
        </a:solidFill>
        <a:ln w="9525">
          <a:noFill/>
          <a:miter lim="800000"/>
          <a:headEnd/>
          <a:tailEnd/>
        </a:ln>
      </xdr:spPr>
    </xdr:sp>
    <xdr:clientData/>
  </xdr:twoCellAnchor>
  <xdr:twoCellAnchor>
    <xdr:from>
      <xdr:col>2</xdr:col>
      <xdr:colOff>85725</xdr:colOff>
      <xdr:row>570</xdr:row>
      <xdr:rowOff>0</xdr:rowOff>
    </xdr:from>
    <xdr:to>
      <xdr:col>2</xdr:col>
      <xdr:colOff>342900</xdr:colOff>
      <xdr:row>570</xdr:row>
      <xdr:rowOff>0</xdr:rowOff>
    </xdr:to>
    <xdr:sp macro="" textlink="">
      <xdr:nvSpPr>
        <xdr:cNvPr id="69" name="Text Box 358"/>
        <xdr:cNvSpPr txBox="1">
          <a:spLocks noChangeArrowheads="1"/>
        </xdr:cNvSpPr>
      </xdr:nvSpPr>
      <xdr:spPr bwMode="auto">
        <a:xfrm>
          <a:off x="1381125" y="1207150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570</xdr:row>
      <xdr:rowOff>0</xdr:rowOff>
    </xdr:from>
    <xdr:to>
      <xdr:col>2</xdr:col>
      <xdr:colOff>276225</xdr:colOff>
      <xdr:row>570</xdr:row>
      <xdr:rowOff>0</xdr:rowOff>
    </xdr:to>
    <xdr:sp macro="" textlink="">
      <xdr:nvSpPr>
        <xdr:cNvPr id="70" name="Text Box 359"/>
        <xdr:cNvSpPr txBox="1">
          <a:spLocks noChangeArrowheads="1"/>
        </xdr:cNvSpPr>
      </xdr:nvSpPr>
      <xdr:spPr bwMode="auto">
        <a:xfrm>
          <a:off x="1381125" y="12071508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570</xdr:row>
      <xdr:rowOff>0</xdr:rowOff>
    </xdr:from>
    <xdr:to>
      <xdr:col>2</xdr:col>
      <xdr:colOff>342900</xdr:colOff>
      <xdr:row>570</xdr:row>
      <xdr:rowOff>0</xdr:rowOff>
    </xdr:to>
    <xdr:sp macro="" textlink="">
      <xdr:nvSpPr>
        <xdr:cNvPr id="71" name="Text Box 360"/>
        <xdr:cNvSpPr txBox="1">
          <a:spLocks noChangeArrowheads="1"/>
        </xdr:cNvSpPr>
      </xdr:nvSpPr>
      <xdr:spPr bwMode="auto">
        <a:xfrm>
          <a:off x="1381125" y="1207150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653</xdr:row>
      <xdr:rowOff>0</xdr:rowOff>
    </xdr:from>
    <xdr:to>
      <xdr:col>2</xdr:col>
      <xdr:colOff>342900</xdr:colOff>
      <xdr:row>653</xdr:row>
      <xdr:rowOff>0</xdr:rowOff>
    </xdr:to>
    <xdr:sp macro="" textlink="">
      <xdr:nvSpPr>
        <xdr:cNvPr id="72" name="Text Box 361"/>
        <xdr:cNvSpPr txBox="1">
          <a:spLocks noChangeArrowheads="1"/>
        </xdr:cNvSpPr>
      </xdr:nvSpPr>
      <xdr:spPr bwMode="auto">
        <a:xfrm>
          <a:off x="1381125" y="1208674875"/>
          <a:ext cx="257175" cy="0"/>
        </a:xfrm>
        <a:prstGeom prst="rect">
          <a:avLst/>
        </a:prstGeom>
        <a:solidFill>
          <a:srgbClr val="FFFFFF"/>
        </a:solidFill>
        <a:ln w="9525">
          <a:noFill/>
          <a:miter lim="800000"/>
          <a:headEnd/>
          <a:tailEnd/>
        </a:ln>
      </xdr:spPr>
    </xdr:sp>
    <xdr:clientData/>
  </xdr:twoCellAnchor>
  <xdr:twoCellAnchor>
    <xdr:from>
      <xdr:col>2</xdr:col>
      <xdr:colOff>85725</xdr:colOff>
      <xdr:row>653</xdr:row>
      <xdr:rowOff>0</xdr:rowOff>
    </xdr:from>
    <xdr:to>
      <xdr:col>2</xdr:col>
      <xdr:colOff>342900</xdr:colOff>
      <xdr:row>653</xdr:row>
      <xdr:rowOff>0</xdr:rowOff>
    </xdr:to>
    <xdr:sp macro="" textlink="">
      <xdr:nvSpPr>
        <xdr:cNvPr id="73" name="Text Box 362"/>
        <xdr:cNvSpPr txBox="1">
          <a:spLocks noChangeArrowheads="1"/>
        </xdr:cNvSpPr>
      </xdr:nvSpPr>
      <xdr:spPr bwMode="auto">
        <a:xfrm>
          <a:off x="1381125" y="1208674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653</xdr:row>
      <xdr:rowOff>0</xdr:rowOff>
    </xdr:from>
    <xdr:to>
      <xdr:col>2</xdr:col>
      <xdr:colOff>276225</xdr:colOff>
      <xdr:row>653</xdr:row>
      <xdr:rowOff>0</xdr:rowOff>
    </xdr:to>
    <xdr:sp macro="" textlink="">
      <xdr:nvSpPr>
        <xdr:cNvPr id="74" name="Text Box 363"/>
        <xdr:cNvSpPr txBox="1">
          <a:spLocks noChangeArrowheads="1"/>
        </xdr:cNvSpPr>
      </xdr:nvSpPr>
      <xdr:spPr bwMode="auto">
        <a:xfrm>
          <a:off x="1381125" y="12086748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653</xdr:row>
      <xdr:rowOff>0</xdr:rowOff>
    </xdr:from>
    <xdr:to>
      <xdr:col>2</xdr:col>
      <xdr:colOff>342900</xdr:colOff>
      <xdr:row>653</xdr:row>
      <xdr:rowOff>0</xdr:rowOff>
    </xdr:to>
    <xdr:sp macro="" textlink="">
      <xdr:nvSpPr>
        <xdr:cNvPr id="75" name="Text Box 364"/>
        <xdr:cNvSpPr txBox="1">
          <a:spLocks noChangeArrowheads="1"/>
        </xdr:cNvSpPr>
      </xdr:nvSpPr>
      <xdr:spPr bwMode="auto">
        <a:xfrm>
          <a:off x="1381125" y="1208674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670</xdr:row>
      <xdr:rowOff>0</xdr:rowOff>
    </xdr:from>
    <xdr:to>
      <xdr:col>2</xdr:col>
      <xdr:colOff>342900</xdr:colOff>
      <xdr:row>670</xdr:row>
      <xdr:rowOff>0</xdr:rowOff>
    </xdr:to>
    <xdr:sp macro="" textlink="">
      <xdr:nvSpPr>
        <xdr:cNvPr id="76" name="Text Box 365"/>
        <xdr:cNvSpPr txBox="1">
          <a:spLocks noChangeArrowheads="1"/>
        </xdr:cNvSpPr>
      </xdr:nvSpPr>
      <xdr:spPr bwMode="auto">
        <a:xfrm>
          <a:off x="1381125" y="1211913375"/>
          <a:ext cx="257175" cy="0"/>
        </a:xfrm>
        <a:prstGeom prst="rect">
          <a:avLst/>
        </a:prstGeom>
        <a:solidFill>
          <a:srgbClr val="FFFFFF"/>
        </a:solidFill>
        <a:ln w="9525">
          <a:noFill/>
          <a:miter lim="800000"/>
          <a:headEnd/>
          <a:tailEnd/>
        </a:ln>
      </xdr:spPr>
    </xdr:sp>
    <xdr:clientData/>
  </xdr:twoCellAnchor>
  <xdr:twoCellAnchor>
    <xdr:from>
      <xdr:col>2</xdr:col>
      <xdr:colOff>85725</xdr:colOff>
      <xdr:row>670</xdr:row>
      <xdr:rowOff>0</xdr:rowOff>
    </xdr:from>
    <xdr:to>
      <xdr:col>2</xdr:col>
      <xdr:colOff>342900</xdr:colOff>
      <xdr:row>670</xdr:row>
      <xdr:rowOff>0</xdr:rowOff>
    </xdr:to>
    <xdr:sp macro="" textlink="">
      <xdr:nvSpPr>
        <xdr:cNvPr id="77" name="Text Box 366"/>
        <xdr:cNvSpPr txBox="1">
          <a:spLocks noChangeArrowheads="1"/>
        </xdr:cNvSpPr>
      </xdr:nvSpPr>
      <xdr:spPr bwMode="auto">
        <a:xfrm>
          <a:off x="1381125" y="1211913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670</xdr:row>
      <xdr:rowOff>0</xdr:rowOff>
    </xdr:from>
    <xdr:to>
      <xdr:col>2</xdr:col>
      <xdr:colOff>276225</xdr:colOff>
      <xdr:row>670</xdr:row>
      <xdr:rowOff>0</xdr:rowOff>
    </xdr:to>
    <xdr:sp macro="" textlink="">
      <xdr:nvSpPr>
        <xdr:cNvPr id="78" name="Text Box 367"/>
        <xdr:cNvSpPr txBox="1">
          <a:spLocks noChangeArrowheads="1"/>
        </xdr:cNvSpPr>
      </xdr:nvSpPr>
      <xdr:spPr bwMode="auto">
        <a:xfrm>
          <a:off x="1381125" y="12119133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670</xdr:row>
      <xdr:rowOff>0</xdr:rowOff>
    </xdr:from>
    <xdr:to>
      <xdr:col>2</xdr:col>
      <xdr:colOff>342900</xdr:colOff>
      <xdr:row>670</xdr:row>
      <xdr:rowOff>0</xdr:rowOff>
    </xdr:to>
    <xdr:sp macro="" textlink="">
      <xdr:nvSpPr>
        <xdr:cNvPr id="79" name="Text Box 368"/>
        <xdr:cNvSpPr txBox="1">
          <a:spLocks noChangeArrowheads="1"/>
        </xdr:cNvSpPr>
      </xdr:nvSpPr>
      <xdr:spPr bwMode="auto">
        <a:xfrm>
          <a:off x="1381125" y="1211913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687</xdr:row>
      <xdr:rowOff>0</xdr:rowOff>
    </xdr:from>
    <xdr:to>
      <xdr:col>2</xdr:col>
      <xdr:colOff>342900</xdr:colOff>
      <xdr:row>687</xdr:row>
      <xdr:rowOff>0</xdr:rowOff>
    </xdr:to>
    <xdr:sp macro="" textlink="">
      <xdr:nvSpPr>
        <xdr:cNvPr id="80" name="Text Box 369"/>
        <xdr:cNvSpPr txBox="1">
          <a:spLocks noChangeArrowheads="1"/>
        </xdr:cNvSpPr>
      </xdr:nvSpPr>
      <xdr:spPr bwMode="auto">
        <a:xfrm>
          <a:off x="1381125" y="1215151875"/>
          <a:ext cx="257175" cy="0"/>
        </a:xfrm>
        <a:prstGeom prst="rect">
          <a:avLst/>
        </a:prstGeom>
        <a:solidFill>
          <a:srgbClr val="FFFFFF"/>
        </a:solidFill>
        <a:ln w="9525">
          <a:noFill/>
          <a:miter lim="800000"/>
          <a:headEnd/>
          <a:tailEnd/>
        </a:ln>
      </xdr:spPr>
    </xdr:sp>
    <xdr:clientData/>
  </xdr:twoCellAnchor>
  <xdr:twoCellAnchor>
    <xdr:from>
      <xdr:col>2</xdr:col>
      <xdr:colOff>85725</xdr:colOff>
      <xdr:row>687</xdr:row>
      <xdr:rowOff>0</xdr:rowOff>
    </xdr:from>
    <xdr:to>
      <xdr:col>2</xdr:col>
      <xdr:colOff>342900</xdr:colOff>
      <xdr:row>687</xdr:row>
      <xdr:rowOff>0</xdr:rowOff>
    </xdr:to>
    <xdr:sp macro="" textlink="">
      <xdr:nvSpPr>
        <xdr:cNvPr id="81" name="Text Box 370"/>
        <xdr:cNvSpPr txBox="1">
          <a:spLocks noChangeArrowheads="1"/>
        </xdr:cNvSpPr>
      </xdr:nvSpPr>
      <xdr:spPr bwMode="auto">
        <a:xfrm>
          <a:off x="1381125" y="1215151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687</xdr:row>
      <xdr:rowOff>0</xdr:rowOff>
    </xdr:from>
    <xdr:to>
      <xdr:col>2</xdr:col>
      <xdr:colOff>276225</xdr:colOff>
      <xdr:row>687</xdr:row>
      <xdr:rowOff>0</xdr:rowOff>
    </xdr:to>
    <xdr:sp macro="" textlink="">
      <xdr:nvSpPr>
        <xdr:cNvPr id="82" name="Text Box 371"/>
        <xdr:cNvSpPr txBox="1">
          <a:spLocks noChangeArrowheads="1"/>
        </xdr:cNvSpPr>
      </xdr:nvSpPr>
      <xdr:spPr bwMode="auto">
        <a:xfrm>
          <a:off x="1381125" y="12151518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687</xdr:row>
      <xdr:rowOff>0</xdr:rowOff>
    </xdr:from>
    <xdr:to>
      <xdr:col>2</xdr:col>
      <xdr:colOff>342900</xdr:colOff>
      <xdr:row>687</xdr:row>
      <xdr:rowOff>0</xdr:rowOff>
    </xdr:to>
    <xdr:sp macro="" textlink="">
      <xdr:nvSpPr>
        <xdr:cNvPr id="83" name="Text Box 372"/>
        <xdr:cNvSpPr txBox="1">
          <a:spLocks noChangeArrowheads="1"/>
        </xdr:cNvSpPr>
      </xdr:nvSpPr>
      <xdr:spPr bwMode="auto">
        <a:xfrm>
          <a:off x="1381125" y="1215151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704</xdr:row>
      <xdr:rowOff>0</xdr:rowOff>
    </xdr:from>
    <xdr:to>
      <xdr:col>2</xdr:col>
      <xdr:colOff>342900</xdr:colOff>
      <xdr:row>704</xdr:row>
      <xdr:rowOff>0</xdr:rowOff>
    </xdr:to>
    <xdr:sp macro="" textlink="">
      <xdr:nvSpPr>
        <xdr:cNvPr id="84" name="Text Box 373"/>
        <xdr:cNvSpPr txBox="1">
          <a:spLocks noChangeArrowheads="1"/>
        </xdr:cNvSpPr>
      </xdr:nvSpPr>
      <xdr:spPr bwMode="auto">
        <a:xfrm>
          <a:off x="1381125" y="1218390375"/>
          <a:ext cx="257175" cy="0"/>
        </a:xfrm>
        <a:prstGeom prst="rect">
          <a:avLst/>
        </a:prstGeom>
        <a:solidFill>
          <a:srgbClr val="FFFFFF"/>
        </a:solidFill>
        <a:ln w="9525">
          <a:noFill/>
          <a:miter lim="800000"/>
          <a:headEnd/>
          <a:tailEnd/>
        </a:ln>
      </xdr:spPr>
    </xdr:sp>
    <xdr:clientData/>
  </xdr:twoCellAnchor>
  <xdr:twoCellAnchor>
    <xdr:from>
      <xdr:col>2</xdr:col>
      <xdr:colOff>85725</xdr:colOff>
      <xdr:row>704</xdr:row>
      <xdr:rowOff>0</xdr:rowOff>
    </xdr:from>
    <xdr:to>
      <xdr:col>2</xdr:col>
      <xdr:colOff>342900</xdr:colOff>
      <xdr:row>704</xdr:row>
      <xdr:rowOff>0</xdr:rowOff>
    </xdr:to>
    <xdr:sp macro="" textlink="">
      <xdr:nvSpPr>
        <xdr:cNvPr id="85" name="Text Box 374"/>
        <xdr:cNvSpPr txBox="1">
          <a:spLocks noChangeArrowheads="1"/>
        </xdr:cNvSpPr>
      </xdr:nvSpPr>
      <xdr:spPr bwMode="auto">
        <a:xfrm>
          <a:off x="1381125" y="1218390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704</xdr:row>
      <xdr:rowOff>0</xdr:rowOff>
    </xdr:from>
    <xdr:to>
      <xdr:col>2</xdr:col>
      <xdr:colOff>276225</xdr:colOff>
      <xdr:row>704</xdr:row>
      <xdr:rowOff>0</xdr:rowOff>
    </xdr:to>
    <xdr:sp macro="" textlink="">
      <xdr:nvSpPr>
        <xdr:cNvPr id="86" name="Text Box 375"/>
        <xdr:cNvSpPr txBox="1">
          <a:spLocks noChangeArrowheads="1"/>
        </xdr:cNvSpPr>
      </xdr:nvSpPr>
      <xdr:spPr bwMode="auto">
        <a:xfrm>
          <a:off x="1381125" y="12183903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704</xdr:row>
      <xdr:rowOff>0</xdr:rowOff>
    </xdr:from>
    <xdr:to>
      <xdr:col>2</xdr:col>
      <xdr:colOff>342900</xdr:colOff>
      <xdr:row>704</xdr:row>
      <xdr:rowOff>0</xdr:rowOff>
    </xdr:to>
    <xdr:sp macro="" textlink="">
      <xdr:nvSpPr>
        <xdr:cNvPr id="87" name="Text Box 376"/>
        <xdr:cNvSpPr txBox="1">
          <a:spLocks noChangeArrowheads="1"/>
        </xdr:cNvSpPr>
      </xdr:nvSpPr>
      <xdr:spPr bwMode="auto">
        <a:xfrm>
          <a:off x="1381125" y="1218390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721</xdr:row>
      <xdr:rowOff>0</xdr:rowOff>
    </xdr:from>
    <xdr:to>
      <xdr:col>2</xdr:col>
      <xdr:colOff>342900</xdr:colOff>
      <xdr:row>721</xdr:row>
      <xdr:rowOff>0</xdr:rowOff>
    </xdr:to>
    <xdr:sp macro="" textlink="">
      <xdr:nvSpPr>
        <xdr:cNvPr id="88" name="Text Box 377"/>
        <xdr:cNvSpPr txBox="1">
          <a:spLocks noChangeArrowheads="1"/>
        </xdr:cNvSpPr>
      </xdr:nvSpPr>
      <xdr:spPr bwMode="auto">
        <a:xfrm>
          <a:off x="1381125" y="1221628875"/>
          <a:ext cx="257175" cy="0"/>
        </a:xfrm>
        <a:prstGeom prst="rect">
          <a:avLst/>
        </a:prstGeom>
        <a:solidFill>
          <a:srgbClr val="FFFFFF"/>
        </a:solidFill>
        <a:ln w="9525">
          <a:noFill/>
          <a:miter lim="800000"/>
          <a:headEnd/>
          <a:tailEnd/>
        </a:ln>
      </xdr:spPr>
    </xdr:sp>
    <xdr:clientData/>
  </xdr:twoCellAnchor>
  <xdr:twoCellAnchor>
    <xdr:from>
      <xdr:col>2</xdr:col>
      <xdr:colOff>85725</xdr:colOff>
      <xdr:row>721</xdr:row>
      <xdr:rowOff>0</xdr:rowOff>
    </xdr:from>
    <xdr:to>
      <xdr:col>2</xdr:col>
      <xdr:colOff>342900</xdr:colOff>
      <xdr:row>721</xdr:row>
      <xdr:rowOff>0</xdr:rowOff>
    </xdr:to>
    <xdr:sp macro="" textlink="">
      <xdr:nvSpPr>
        <xdr:cNvPr id="89" name="Text Box 378"/>
        <xdr:cNvSpPr txBox="1">
          <a:spLocks noChangeArrowheads="1"/>
        </xdr:cNvSpPr>
      </xdr:nvSpPr>
      <xdr:spPr bwMode="auto">
        <a:xfrm>
          <a:off x="1381125" y="1221628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721</xdr:row>
      <xdr:rowOff>0</xdr:rowOff>
    </xdr:from>
    <xdr:to>
      <xdr:col>2</xdr:col>
      <xdr:colOff>276225</xdr:colOff>
      <xdr:row>721</xdr:row>
      <xdr:rowOff>0</xdr:rowOff>
    </xdr:to>
    <xdr:sp macro="" textlink="">
      <xdr:nvSpPr>
        <xdr:cNvPr id="90" name="Text Box 379"/>
        <xdr:cNvSpPr txBox="1">
          <a:spLocks noChangeArrowheads="1"/>
        </xdr:cNvSpPr>
      </xdr:nvSpPr>
      <xdr:spPr bwMode="auto">
        <a:xfrm>
          <a:off x="1381125" y="12216288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721</xdr:row>
      <xdr:rowOff>0</xdr:rowOff>
    </xdr:from>
    <xdr:to>
      <xdr:col>2</xdr:col>
      <xdr:colOff>342900</xdr:colOff>
      <xdr:row>721</xdr:row>
      <xdr:rowOff>0</xdr:rowOff>
    </xdr:to>
    <xdr:sp macro="" textlink="">
      <xdr:nvSpPr>
        <xdr:cNvPr id="91" name="Text Box 380"/>
        <xdr:cNvSpPr txBox="1">
          <a:spLocks noChangeArrowheads="1"/>
        </xdr:cNvSpPr>
      </xdr:nvSpPr>
      <xdr:spPr bwMode="auto">
        <a:xfrm>
          <a:off x="1381125" y="1221628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730</xdr:row>
      <xdr:rowOff>0</xdr:rowOff>
    </xdr:from>
    <xdr:to>
      <xdr:col>2</xdr:col>
      <xdr:colOff>342900</xdr:colOff>
      <xdr:row>730</xdr:row>
      <xdr:rowOff>0</xdr:rowOff>
    </xdr:to>
    <xdr:sp macro="" textlink="">
      <xdr:nvSpPr>
        <xdr:cNvPr id="92" name="Text Box 381"/>
        <xdr:cNvSpPr txBox="1">
          <a:spLocks noChangeArrowheads="1"/>
        </xdr:cNvSpPr>
      </xdr:nvSpPr>
      <xdr:spPr bwMode="auto">
        <a:xfrm>
          <a:off x="1381125" y="1223343375"/>
          <a:ext cx="257175" cy="0"/>
        </a:xfrm>
        <a:prstGeom prst="rect">
          <a:avLst/>
        </a:prstGeom>
        <a:solidFill>
          <a:srgbClr val="FFFFFF"/>
        </a:solidFill>
        <a:ln w="9525">
          <a:noFill/>
          <a:miter lim="800000"/>
          <a:headEnd/>
          <a:tailEnd/>
        </a:ln>
      </xdr:spPr>
    </xdr:sp>
    <xdr:clientData/>
  </xdr:twoCellAnchor>
  <xdr:twoCellAnchor>
    <xdr:from>
      <xdr:col>2</xdr:col>
      <xdr:colOff>85725</xdr:colOff>
      <xdr:row>730</xdr:row>
      <xdr:rowOff>0</xdr:rowOff>
    </xdr:from>
    <xdr:to>
      <xdr:col>2</xdr:col>
      <xdr:colOff>342900</xdr:colOff>
      <xdr:row>730</xdr:row>
      <xdr:rowOff>0</xdr:rowOff>
    </xdr:to>
    <xdr:sp macro="" textlink="">
      <xdr:nvSpPr>
        <xdr:cNvPr id="93" name="Text Box 382"/>
        <xdr:cNvSpPr txBox="1">
          <a:spLocks noChangeArrowheads="1"/>
        </xdr:cNvSpPr>
      </xdr:nvSpPr>
      <xdr:spPr bwMode="auto">
        <a:xfrm>
          <a:off x="1381125" y="1223343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730</xdr:row>
      <xdr:rowOff>0</xdr:rowOff>
    </xdr:from>
    <xdr:to>
      <xdr:col>2</xdr:col>
      <xdr:colOff>276225</xdr:colOff>
      <xdr:row>730</xdr:row>
      <xdr:rowOff>0</xdr:rowOff>
    </xdr:to>
    <xdr:sp macro="" textlink="">
      <xdr:nvSpPr>
        <xdr:cNvPr id="94" name="Text Box 383"/>
        <xdr:cNvSpPr txBox="1">
          <a:spLocks noChangeArrowheads="1"/>
        </xdr:cNvSpPr>
      </xdr:nvSpPr>
      <xdr:spPr bwMode="auto">
        <a:xfrm>
          <a:off x="1381125" y="12233433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730</xdr:row>
      <xdr:rowOff>0</xdr:rowOff>
    </xdr:from>
    <xdr:to>
      <xdr:col>2</xdr:col>
      <xdr:colOff>342900</xdr:colOff>
      <xdr:row>730</xdr:row>
      <xdr:rowOff>0</xdr:rowOff>
    </xdr:to>
    <xdr:sp macro="" textlink="">
      <xdr:nvSpPr>
        <xdr:cNvPr id="95" name="Text Box 384"/>
        <xdr:cNvSpPr txBox="1">
          <a:spLocks noChangeArrowheads="1"/>
        </xdr:cNvSpPr>
      </xdr:nvSpPr>
      <xdr:spPr bwMode="auto">
        <a:xfrm>
          <a:off x="1381125" y="12233433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747</xdr:row>
      <xdr:rowOff>0</xdr:rowOff>
    </xdr:from>
    <xdr:to>
      <xdr:col>2</xdr:col>
      <xdr:colOff>342900</xdr:colOff>
      <xdr:row>747</xdr:row>
      <xdr:rowOff>0</xdr:rowOff>
    </xdr:to>
    <xdr:sp macro="" textlink="">
      <xdr:nvSpPr>
        <xdr:cNvPr id="96" name="Text Box 381"/>
        <xdr:cNvSpPr txBox="1">
          <a:spLocks noChangeArrowheads="1"/>
        </xdr:cNvSpPr>
      </xdr:nvSpPr>
      <xdr:spPr bwMode="auto">
        <a:xfrm>
          <a:off x="1381125" y="1226581875"/>
          <a:ext cx="257175" cy="0"/>
        </a:xfrm>
        <a:prstGeom prst="rect">
          <a:avLst/>
        </a:prstGeom>
        <a:solidFill>
          <a:srgbClr val="FFFFFF"/>
        </a:solidFill>
        <a:ln w="9525">
          <a:noFill/>
          <a:miter lim="800000"/>
          <a:headEnd/>
          <a:tailEnd/>
        </a:ln>
      </xdr:spPr>
    </xdr:sp>
    <xdr:clientData/>
  </xdr:twoCellAnchor>
  <xdr:twoCellAnchor>
    <xdr:from>
      <xdr:col>2</xdr:col>
      <xdr:colOff>85725</xdr:colOff>
      <xdr:row>747</xdr:row>
      <xdr:rowOff>0</xdr:rowOff>
    </xdr:from>
    <xdr:to>
      <xdr:col>2</xdr:col>
      <xdr:colOff>342900</xdr:colOff>
      <xdr:row>747</xdr:row>
      <xdr:rowOff>0</xdr:rowOff>
    </xdr:to>
    <xdr:sp macro="" textlink="">
      <xdr:nvSpPr>
        <xdr:cNvPr id="97" name="Text Box 382"/>
        <xdr:cNvSpPr txBox="1">
          <a:spLocks noChangeArrowheads="1"/>
        </xdr:cNvSpPr>
      </xdr:nvSpPr>
      <xdr:spPr bwMode="auto">
        <a:xfrm>
          <a:off x="1381125" y="1226581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747</xdr:row>
      <xdr:rowOff>0</xdr:rowOff>
    </xdr:from>
    <xdr:to>
      <xdr:col>2</xdr:col>
      <xdr:colOff>276225</xdr:colOff>
      <xdr:row>747</xdr:row>
      <xdr:rowOff>0</xdr:rowOff>
    </xdr:to>
    <xdr:sp macro="" textlink="">
      <xdr:nvSpPr>
        <xdr:cNvPr id="98" name="Text Box 383"/>
        <xdr:cNvSpPr txBox="1">
          <a:spLocks noChangeArrowheads="1"/>
        </xdr:cNvSpPr>
      </xdr:nvSpPr>
      <xdr:spPr bwMode="auto">
        <a:xfrm>
          <a:off x="1381125" y="12265818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747</xdr:row>
      <xdr:rowOff>0</xdr:rowOff>
    </xdr:from>
    <xdr:to>
      <xdr:col>2</xdr:col>
      <xdr:colOff>342900</xdr:colOff>
      <xdr:row>747</xdr:row>
      <xdr:rowOff>0</xdr:rowOff>
    </xdr:to>
    <xdr:sp macro="" textlink="">
      <xdr:nvSpPr>
        <xdr:cNvPr id="99" name="Text Box 384"/>
        <xdr:cNvSpPr txBox="1">
          <a:spLocks noChangeArrowheads="1"/>
        </xdr:cNvSpPr>
      </xdr:nvSpPr>
      <xdr:spPr bwMode="auto">
        <a:xfrm>
          <a:off x="1381125" y="1226581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747</xdr:row>
      <xdr:rowOff>0</xdr:rowOff>
    </xdr:from>
    <xdr:to>
      <xdr:col>2</xdr:col>
      <xdr:colOff>342900</xdr:colOff>
      <xdr:row>747</xdr:row>
      <xdr:rowOff>0</xdr:rowOff>
    </xdr:to>
    <xdr:sp macro="" textlink="">
      <xdr:nvSpPr>
        <xdr:cNvPr id="100" name="Text Box 381"/>
        <xdr:cNvSpPr txBox="1">
          <a:spLocks noChangeArrowheads="1"/>
        </xdr:cNvSpPr>
      </xdr:nvSpPr>
      <xdr:spPr bwMode="auto">
        <a:xfrm>
          <a:off x="1381125" y="1226581875"/>
          <a:ext cx="257175" cy="0"/>
        </a:xfrm>
        <a:prstGeom prst="rect">
          <a:avLst/>
        </a:prstGeom>
        <a:solidFill>
          <a:srgbClr val="FFFFFF"/>
        </a:solidFill>
        <a:ln w="9525">
          <a:noFill/>
          <a:miter lim="800000"/>
          <a:headEnd/>
          <a:tailEnd/>
        </a:ln>
      </xdr:spPr>
    </xdr:sp>
    <xdr:clientData/>
  </xdr:twoCellAnchor>
  <xdr:twoCellAnchor>
    <xdr:from>
      <xdr:col>2</xdr:col>
      <xdr:colOff>85725</xdr:colOff>
      <xdr:row>747</xdr:row>
      <xdr:rowOff>0</xdr:rowOff>
    </xdr:from>
    <xdr:to>
      <xdr:col>2</xdr:col>
      <xdr:colOff>342900</xdr:colOff>
      <xdr:row>747</xdr:row>
      <xdr:rowOff>0</xdr:rowOff>
    </xdr:to>
    <xdr:sp macro="" textlink="">
      <xdr:nvSpPr>
        <xdr:cNvPr id="101" name="Text Box 382"/>
        <xdr:cNvSpPr txBox="1">
          <a:spLocks noChangeArrowheads="1"/>
        </xdr:cNvSpPr>
      </xdr:nvSpPr>
      <xdr:spPr bwMode="auto">
        <a:xfrm>
          <a:off x="1381125" y="1226581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747</xdr:row>
      <xdr:rowOff>0</xdr:rowOff>
    </xdr:from>
    <xdr:to>
      <xdr:col>2</xdr:col>
      <xdr:colOff>276225</xdr:colOff>
      <xdr:row>747</xdr:row>
      <xdr:rowOff>0</xdr:rowOff>
    </xdr:to>
    <xdr:sp macro="" textlink="">
      <xdr:nvSpPr>
        <xdr:cNvPr id="102" name="Text Box 383"/>
        <xdr:cNvSpPr txBox="1">
          <a:spLocks noChangeArrowheads="1"/>
        </xdr:cNvSpPr>
      </xdr:nvSpPr>
      <xdr:spPr bwMode="auto">
        <a:xfrm>
          <a:off x="1381125" y="1226581875"/>
          <a:ext cx="1905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747</xdr:row>
      <xdr:rowOff>0</xdr:rowOff>
    </xdr:from>
    <xdr:to>
      <xdr:col>2</xdr:col>
      <xdr:colOff>342900</xdr:colOff>
      <xdr:row>747</xdr:row>
      <xdr:rowOff>0</xdr:rowOff>
    </xdr:to>
    <xdr:sp macro="" textlink="">
      <xdr:nvSpPr>
        <xdr:cNvPr id="103" name="Text Box 384"/>
        <xdr:cNvSpPr txBox="1">
          <a:spLocks noChangeArrowheads="1"/>
        </xdr:cNvSpPr>
      </xdr:nvSpPr>
      <xdr:spPr bwMode="auto">
        <a:xfrm>
          <a:off x="1381125" y="122658187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editAs="oneCell">
    <xdr:from>
      <xdr:col>8</xdr:col>
      <xdr:colOff>0</xdr:colOff>
      <xdr:row>368</xdr:row>
      <xdr:rowOff>0</xdr:rowOff>
    </xdr:from>
    <xdr:to>
      <xdr:col>8</xdr:col>
      <xdr:colOff>114300</xdr:colOff>
      <xdr:row>368</xdr:row>
      <xdr:rowOff>104775</xdr:rowOff>
    </xdr:to>
    <xdr:pic>
      <xdr:nvPicPr>
        <xdr:cNvPr id="104" name="Picture 2168" descr="BD10254_"/>
        <xdr:cNvPicPr>
          <a:picLocks noChangeAspect="1" noChangeArrowheads="1"/>
        </xdr:cNvPicPr>
      </xdr:nvPicPr>
      <xdr:blipFill>
        <a:blip xmlns:r="http://schemas.openxmlformats.org/officeDocument/2006/relationships" r:embed="rId1"/>
        <a:srcRect/>
        <a:stretch>
          <a:fillRect/>
        </a:stretch>
      </xdr:blipFill>
      <xdr:spPr bwMode="auto">
        <a:xfrm>
          <a:off x="7591425" y="1168669875"/>
          <a:ext cx="114300" cy="104775"/>
        </a:xfrm>
        <a:prstGeom prst="rect">
          <a:avLst/>
        </a:prstGeom>
        <a:noFill/>
        <a:ln w="9525">
          <a:noFill/>
          <a:miter lim="800000"/>
          <a:headEnd/>
          <a:tailEnd/>
        </a:ln>
      </xdr:spPr>
    </xdr:pic>
    <xdr:clientData/>
  </xdr:twoCellAnchor>
  <xdr:twoCellAnchor editAs="oneCell">
    <xdr:from>
      <xdr:col>8</xdr:col>
      <xdr:colOff>0</xdr:colOff>
      <xdr:row>368</xdr:row>
      <xdr:rowOff>0</xdr:rowOff>
    </xdr:from>
    <xdr:to>
      <xdr:col>8</xdr:col>
      <xdr:colOff>114300</xdr:colOff>
      <xdr:row>368</xdr:row>
      <xdr:rowOff>104775</xdr:rowOff>
    </xdr:to>
    <xdr:pic>
      <xdr:nvPicPr>
        <xdr:cNvPr id="105" name="Picture 2169" descr="BD10255_"/>
        <xdr:cNvPicPr>
          <a:picLocks noChangeAspect="1" noChangeArrowheads="1"/>
        </xdr:cNvPicPr>
      </xdr:nvPicPr>
      <xdr:blipFill>
        <a:blip xmlns:r="http://schemas.openxmlformats.org/officeDocument/2006/relationships" r:embed="rId2"/>
        <a:srcRect/>
        <a:stretch>
          <a:fillRect/>
        </a:stretch>
      </xdr:blipFill>
      <xdr:spPr bwMode="auto">
        <a:xfrm>
          <a:off x="7591425" y="1168669875"/>
          <a:ext cx="114300" cy="104775"/>
        </a:xfrm>
        <a:prstGeom prst="rect">
          <a:avLst/>
        </a:prstGeom>
        <a:noFill/>
        <a:ln w="9525">
          <a:noFill/>
          <a:miter lim="800000"/>
          <a:headEnd/>
          <a:tailEnd/>
        </a:ln>
      </xdr:spPr>
    </xdr:pic>
    <xdr:clientData/>
  </xdr:twoCellAnchor>
  <xdr:twoCellAnchor>
    <xdr:from>
      <xdr:col>2</xdr:col>
      <xdr:colOff>85725</xdr:colOff>
      <xdr:row>606</xdr:row>
      <xdr:rowOff>0</xdr:rowOff>
    </xdr:from>
    <xdr:to>
      <xdr:col>2</xdr:col>
      <xdr:colOff>342900</xdr:colOff>
      <xdr:row>606</xdr:row>
      <xdr:rowOff>0</xdr:rowOff>
    </xdr:to>
    <xdr:sp macro="" textlink="">
      <xdr:nvSpPr>
        <xdr:cNvPr id="106" name="Text Box 173"/>
        <xdr:cNvSpPr txBox="1">
          <a:spLocks noChangeArrowheads="1"/>
        </xdr:cNvSpPr>
      </xdr:nvSpPr>
      <xdr:spPr bwMode="auto">
        <a:xfrm>
          <a:off x="1381125" y="4513897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xdr:col>
      <xdr:colOff>85725</xdr:colOff>
      <xdr:row>604</xdr:row>
      <xdr:rowOff>133350</xdr:rowOff>
    </xdr:from>
    <xdr:to>
      <xdr:col>2</xdr:col>
      <xdr:colOff>342900</xdr:colOff>
      <xdr:row>605</xdr:row>
      <xdr:rowOff>57150</xdr:rowOff>
    </xdr:to>
    <xdr:sp macro="" textlink="">
      <xdr:nvSpPr>
        <xdr:cNvPr id="107" name="Text Box 174"/>
        <xdr:cNvSpPr txBox="1">
          <a:spLocks noChangeArrowheads="1"/>
        </xdr:cNvSpPr>
      </xdr:nvSpPr>
      <xdr:spPr bwMode="auto">
        <a:xfrm>
          <a:off x="1381125" y="451142100"/>
          <a:ext cx="257175" cy="11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20dL=dL=sdl;%7bon%20KnfO%7b" TargetMode="External"/><Relationship Id="rId7" Type="http://schemas.openxmlformats.org/officeDocument/2006/relationships/drawing" Target="../drawings/drawing1.xml"/><Relationship Id="rId2" Type="http://schemas.openxmlformats.org/officeDocument/2006/relationships/hyperlink" Target="mailto:!@%20dL=dL=sdl;%7bon%20KnfO%7b" TargetMode="External"/><Relationship Id="rId1" Type="http://schemas.openxmlformats.org/officeDocument/2006/relationships/hyperlink" Target="mailto:!@%20dL=dL=sdl;%7bon%20KnfO%7b" TargetMode="External"/><Relationship Id="rId6" Type="http://schemas.openxmlformats.org/officeDocument/2006/relationships/printerSettings" Target="../printerSettings/printerSettings4.bin"/><Relationship Id="rId5" Type="http://schemas.openxmlformats.org/officeDocument/2006/relationships/hyperlink" Target="mailto:!@&#8211;#) ;]=dL= uf]nfO{sf] ?v 9fNg] sfo{ xfFufx? sf6L ?vsf] 6'qmf kf/L lgdf{0f :ynaf6" TargetMode="External"/><Relationship Id="rId10" Type="http://schemas.openxmlformats.org/officeDocument/2006/relationships/oleObject" Target="../embeddings/oleObject2.bin"/><Relationship Id="rId4" Type="http://schemas.openxmlformats.org/officeDocument/2006/relationships/hyperlink" Target="mailto:!@&#8211;#) ;]=dL= uf]nfO{sf] ?v 9fNg] sfo{ xfFufx? sf6L ?vsf] 6'qmf kf/L lgdf{0f :ynaf6" TargetMode="External"/><Relationship Id="rId9"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K991"/>
  <sheetViews>
    <sheetView workbookViewId="0">
      <selection activeCell="E3" sqref="E3"/>
    </sheetView>
  </sheetViews>
  <sheetFormatPr defaultRowHeight="12.75"/>
  <cols>
    <col min="1" max="1" width="6.7109375" customWidth="1"/>
    <col min="2" max="2" width="40" bestFit="1" customWidth="1"/>
    <col min="3" max="3" width="43.85546875" hidden="1" customWidth="1"/>
    <col min="4" max="4" width="7.7109375" style="489" bestFit="1" customWidth="1"/>
    <col min="5" max="5" width="11.5703125" style="549" customWidth="1"/>
    <col min="6" max="6" width="10.5703125" bestFit="1" customWidth="1"/>
    <col min="11" max="11" width="11.5703125" bestFit="1" customWidth="1"/>
  </cols>
  <sheetData>
    <row r="1" spans="1:5" ht="13.5" thickBot="1">
      <c r="A1" s="488" t="s">
        <v>503</v>
      </c>
      <c r="E1" s="490"/>
    </row>
    <row r="2" spans="1:5">
      <c r="A2" s="468" t="s">
        <v>504</v>
      </c>
      <c r="B2" s="491" t="s">
        <v>505</v>
      </c>
      <c r="C2" s="491" t="s">
        <v>506</v>
      </c>
      <c r="D2" s="492" t="s">
        <v>507</v>
      </c>
      <c r="E2" s="493" t="s">
        <v>508</v>
      </c>
    </row>
    <row r="3" spans="1:5">
      <c r="A3" s="494">
        <v>1</v>
      </c>
      <c r="B3" s="495" t="s">
        <v>1998</v>
      </c>
      <c r="C3" s="495" t="s">
        <v>1998</v>
      </c>
      <c r="D3" s="496" t="s">
        <v>1999</v>
      </c>
      <c r="E3" s="521">
        <f>'Table of Content 2'!E6</f>
        <v>56.06</v>
      </c>
    </row>
    <row r="4" spans="1:5">
      <c r="A4" s="498">
        <v>2</v>
      </c>
      <c r="B4" s="417" t="s">
        <v>2000</v>
      </c>
      <c r="C4" s="417" t="s">
        <v>2000</v>
      </c>
      <c r="D4" s="496" t="s">
        <v>1999</v>
      </c>
      <c r="E4" s="521">
        <f>'Table of Content 2'!E7</f>
        <v>422.62</v>
      </c>
    </row>
    <row r="5" spans="1:5">
      <c r="A5" s="498">
        <v>3</v>
      </c>
      <c r="B5" s="499" t="s">
        <v>2001</v>
      </c>
      <c r="C5" s="499" t="s">
        <v>2001</v>
      </c>
      <c r="D5" s="496" t="s">
        <v>1999</v>
      </c>
      <c r="E5" s="521">
        <f>'Table of Content 2'!E8</f>
        <v>172.5</v>
      </c>
    </row>
    <row r="6" spans="1:5">
      <c r="A6" s="498">
        <v>4</v>
      </c>
      <c r="B6" s="499" t="s">
        <v>2002</v>
      </c>
      <c r="C6" s="499" t="s">
        <v>2002</v>
      </c>
      <c r="D6" s="496" t="s">
        <v>2003</v>
      </c>
      <c r="E6" s="521">
        <f>'Table of Content 2'!E9</f>
        <v>1086.75</v>
      </c>
    </row>
    <row r="7" spans="1:5">
      <c r="A7" s="498">
        <v>5</v>
      </c>
      <c r="B7" s="499" t="s">
        <v>2004</v>
      </c>
      <c r="C7" s="499" t="s">
        <v>2004</v>
      </c>
      <c r="D7" s="496" t="s">
        <v>2003</v>
      </c>
      <c r="E7" s="521">
        <f>'Table of Content 2'!E10</f>
        <v>9.91</v>
      </c>
    </row>
    <row r="8" spans="1:5">
      <c r="A8" s="498">
        <v>6</v>
      </c>
      <c r="B8" s="499" t="s">
        <v>2005</v>
      </c>
      <c r="C8" s="499" t="s">
        <v>2005</v>
      </c>
      <c r="D8" s="496" t="s">
        <v>2003</v>
      </c>
      <c r="E8" s="521">
        <f>'Table of Content 2'!E11</f>
        <v>4.3100000000000005</v>
      </c>
    </row>
    <row r="9" spans="1:5" ht="38.25">
      <c r="A9" s="498">
        <v>7</v>
      </c>
      <c r="B9" s="500" t="s">
        <v>2006</v>
      </c>
      <c r="C9" s="500" t="s">
        <v>2007</v>
      </c>
      <c r="D9" s="501" t="s">
        <v>2003</v>
      </c>
      <c r="E9" s="521">
        <f>'Table of Content 2'!E12</f>
        <v>395.209</v>
      </c>
    </row>
    <row r="10" spans="1:5">
      <c r="A10" s="560"/>
      <c r="B10" s="553"/>
      <c r="C10" s="553"/>
      <c r="D10" s="552"/>
      <c r="E10" s="561"/>
    </row>
    <row r="11" spans="1:5">
      <c r="A11" s="498">
        <v>8</v>
      </c>
      <c r="B11" s="500" t="s">
        <v>2008</v>
      </c>
      <c r="C11" s="500" t="s">
        <v>2008</v>
      </c>
      <c r="D11" s="501" t="s">
        <v>2009</v>
      </c>
      <c r="E11" s="497">
        <f>'Table of Content 2'!E16</f>
        <v>52794.2</v>
      </c>
    </row>
    <row r="12" spans="1:5" ht="38.25">
      <c r="A12" s="498">
        <v>9</v>
      </c>
      <c r="B12" s="500" t="s">
        <v>2010</v>
      </c>
      <c r="C12" s="500" t="s">
        <v>2011</v>
      </c>
      <c r="D12" s="501" t="s">
        <v>2009</v>
      </c>
      <c r="E12" s="497">
        <f>'Table of Content 2'!E17</f>
        <v>310.92</v>
      </c>
    </row>
    <row r="13" spans="1:5" ht="38.25">
      <c r="A13" s="498">
        <v>10</v>
      </c>
      <c r="B13" s="500" t="s">
        <v>293</v>
      </c>
      <c r="C13" s="500" t="s">
        <v>294</v>
      </c>
      <c r="D13" s="501" t="s">
        <v>2009</v>
      </c>
      <c r="E13" s="497">
        <f>'Table of Content 2'!E18</f>
        <v>355.35</v>
      </c>
    </row>
    <row r="14" spans="1:5" ht="38.25">
      <c r="A14" s="502">
        <v>10.1</v>
      </c>
      <c r="B14" s="500" t="s">
        <v>185</v>
      </c>
      <c r="C14" s="500" t="s">
        <v>186</v>
      </c>
      <c r="D14" s="501" t="s">
        <v>2009</v>
      </c>
      <c r="E14" s="497">
        <f>'Table of Content 2'!E19</f>
        <v>1332.56</v>
      </c>
    </row>
    <row r="15" spans="1:5" ht="25.5">
      <c r="A15" s="502">
        <v>11</v>
      </c>
      <c r="B15" s="500" t="s">
        <v>187</v>
      </c>
      <c r="C15" s="500" t="s">
        <v>188</v>
      </c>
      <c r="D15" s="501" t="s">
        <v>2009</v>
      </c>
      <c r="E15" s="497">
        <f>'Table of Content 2'!E20</f>
        <v>596.55999999999995</v>
      </c>
    </row>
    <row r="16" spans="1:5">
      <c r="A16" s="498">
        <v>12</v>
      </c>
      <c r="B16" s="500" t="s">
        <v>189</v>
      </c>
      <c r="C16" s="500" t="s">
        <v>189</v>
      </c>
      <c r="D16" s="501" t="s">
        <v>2009</v>
      </c>
      <c r="E16" s="497">
        <f>'Table of Content 2'!E21</f>
        <v>436.71</v>
      </c>
    </row>
    <row r="17" spans="1:5">
      <c r="A17" s="502">
        <v>12.1</v>
      </c>
      <c r="B17" s="500" t="s">
        <v>189</v>
      </c>
      <c r="C17" s="500" t="s">
        <v>189</v>
      </c>
      <c r="D17" s="501" t="s">
        <v>190</v>
      </c>
      <c r="E17" s="497">
        <f>'Table of Content 2'!E22</f>
        <v>2402.66</v>
      </c>
    </row>
    <row r="18" spans="1:5" ht="38.25">
      <c r="A18" s="502">
        <v>13</v>
      </c>
      <c r="B18" s="500" t="s">
        <v>191</v>
      </c>
      <c r="C18" s="500" t="s">
        <v>192</v>
      </c>
      <c r="D18" s="501" t="s">
        <v>2009</v>
      </c>
      <c r="E18" s="497">
        <f>'Table of Content 2'!E23</f>
        <v>1663.45</v>
      </c>
    </row>
    <row r="19" spans="1:5">
      <c r="A19" s="550"/>
      <c r="B19" s="553"/>
      <c r="C19" s="553"/>
      <c r="D19" s="552"/>
      <c r="E19" s="503"/>
    </row>
    <row r="20" spans="1:5" ht="63.75">
      <c r="A20" s="502">
        <v>14</v>
      </c>
      <c r="B20" s="500" t="s">
        <v>193</v>
      </c>
      <c r="C20" s="500" t="s">
        <v>194</v>
      </c>
      <c r="D20" s="501" t="s">
        <v>2009</v>
      </c>
      <c r="E20" s="521">
        <f>'Table of Content 2'!E32</f>
        <v>9805.27</v>
      </c>
    </row>
    <row r="21" spans="1:5" ht="63.75">
      <c r="A21" s="502">
        <v>15</v>
      </c>
      <c r="B21" s="500" t="s">
        <v>195</v>
      </c>
      <c r="C21" s="500" t="s">
        <v>41</v>
      </c>
      <c r="D21" s="501" t="s">
        <v>2009</v>
      </c>
      <c r="E21" s="521">
        <f>'Table of Content 2'!E33</f>
        <v>10027.36</v>
      </c>
    </row>
    <row r="22" spans="1:5" ht="63.75">
      <c r="A22" s="502">
        <v>16</v>
      </c>
      <c r="B22" s="500" t="s">
        <v>42</v>
      </c>
      <c r="C22" s="500" t="s">
        <v>2318</v>
      </c>
      <c r="D22" s="501" t="s">
        <v>2009</v>
      </c>
      <c r="E22" s="521">
        <f>'Table of Content 2'!E34</f>
        <v>9306.75</v>
      </c>
    </row>
    <row r="23" spans="1:5" ht="63.75">
      <c r="A23" s="502">
        <v>17</v>
      </c>
      <c r="B23" s="500" t="s">
        <v>3634</v>
      </c>
      <c r="C23" s="500" t="s">
        <v>3635</v>
      </c>
      <c r="D23" s="501" t="s">
        <v>2009</v>
      </c>
      <c r="E23" s="521">
        <f>'Table of Content 2'!E35</f>
        <v>9528.84</v>
      </c>
    </row>
    <row r="24" spans="1:5" ht="63.75">
      <c r="A24" s="502">
        <v>18</v>
      </c>
      <c r="B24" s="500" t="s">
        <v>906</v>
      </c>
      <c r="C24" s="500" t="s">
        <v>907</v>
      </c>
      <c r="D24" s="501" t="s">
        <v>2009</v>
      </c>
      <c r="E24" s="521">
        <f>'Table of Content 2'!E36</f>
        <v>8868.36</v>
      </c>
    </row>
    <row r="25" spans="1:5" ht="63.75">
      <c r="A25" s="502">
        <v>19</v>
      </c>
      <c r="B25" s="500" t="s">
        <v>908</v>
      </c>
      <c r="C25" s="500" t="s">
        <v>909</v>
      </c>
      <c r="D25" s="501" t="s">
        <v>2009</v>
      </c>
      <c r="E25" s="521">
        <f>'Table of Content 2'!E37</f>
        <v>9090.4500000000007</v>
      </c>
    </row>
    <row r="26" spans="1:5" ht="63.75">
      <c r="A26" s="502">
        <v>20</v>
      </c>
      <c r="B26" s="500" t="s">
        <v>2322</v>
      </c>
      <c r="C26" s="500" t="s">
        <v>2323</v>
      </c>
      <c r="D26" s="501" t="s">
        <v>2009</v>
      </c>
      <c r="E26" s="521" t="e">
        <f>'Table of Content 2'!#REF!</f>
        <v>#REF!</v>
      </c>
    </row>
    <row r="27" spans="1:5" ht="63.75">
      <c r="A27" s="502">
        <v>21</v>
      </c>
      <c r="B27" s="500" t="s">
        <v>48</v>
      </c>
      <c r="C27" s="500" t="s">
        <v>49</v>
      </c>
      <c r="D27" s="501" t="s">
        <v>2009</v>
      </c>
      <c r="E27" s="521" t="e">
        <f>'Table of Content 2'!#REF!</f>
        <v>#REF!</v>
      </c>
    </row>
    <row r="28" spans="1:5" ht="63.75">
      <c r="A28" s="502">
        <v>22</v>
      </c>
      <c r="B28" s="500" t="s">
        <v>457</v>
      </c>
      <c r="C28" s="500" t="s">
        <v>458</v>
      </c>
      <c r="D28" s="501" t="s">
        <v>2009</v>
      </c>
      <c r="E28" s="521">
        <f>'Table of Content 2'!E38</f>
        <v>9454.52</v>
      </c>
    </row>
    <row r="29" spans="1:5" ht="63.75">
      <c r="A29" s="502">
        <v>23</v>
      </c>
      <c r="B29" s="500" t="s">
        <v>459</v>
      </c>
      <c r="C29" s="500" t="s">
        <v>460</v>
      </c>
      <c r="D29" s="501" t="s">
        <v>2009</v>
      </c>
      <c r="E29" s="521">
        <f>'Table of Content 2'!E39</f>
        <v>9676.61</v>
      </c>
    </row>
    <row r="30" spans="1:5" ht="63.75">
      <c r="A30" s="502">
        <v>24</v>
      </c>
      <c r="B30" s="500" t="s">
        <v>445</v>
      </c>
      <c r="C30" s="500" t="s">
        <v>446</v>
      </c>
      <c r="D30" s="501" t="s">
        <v>2009</v>
      </c>
      <c r="E30" s="521">
        <f>'Table of Content 2'!E40</f>
        <v>8977.9500000000007</v>
      </c>
    </row>
    <row r="31" spans="1:5" ht="63.75">
      <c r="A31" s="502">
        <v>25</v>
      </c>
      <c r="B31" s="500" t="s">
        <v>447</v>
      </c>
      <c r="C31" s="500" t="s">
        <v>448</v>
      </c>
      <c r="D31" s="501" t="s">
        <v>2009</v>
      </c>
      <c r="E31" s="521">
        <f>'Table of Content 2'!E41</f>
        <v>9200.0400000000009</v>
      </c>
    </row>
    <row r="32" spans="1:5" ht="63.75">
      <c r="A32" s="502">
        <v>26</v>
      </c>
      <c r="B32" s="500" t="s">
        <v>449</v>
      </c>
      <c r="C32" s="500" t="s">
        <v>450</v>
      </c>
      <c r="D32" s="501" t="s">
        <v>2009</v>
      </c>
      <c r="E32" s="521">
        <f>'Table of Content 2'!E42</f>
        <v>8517.61</v>
      </c>
    </row>
    <row r="33" spans="1:5" ht="63.75">
      <c r="A33" s="502">
        <v>27</v>
      </c>
      <c r="B33" s="500" t="s">
        <v>451</v>
      </c>
      <c r="C33" s="500" t="s">
        <v>452</v>
      </c>
      <c r="D33" s="501" t="s">
        <v>2009</v>
      </c>
      <c r="E33" s="521">
        <f>'Table of Content 2'!E43</f>
        <v>8739.7000000000007</v>
      </c>
    </row>
    <row r="34" spans="1:5" ht="51">
      <c r="A34" s="502">
        <v>28</v>
      </c>
      <c r="B34" s="500" t="s">
        <v>453</v>
      </c>
      <c r="C34" s="500" t="s">
        <v>454</v>
      </c>
      <c r="D34" s="501" t="s">
        <v>2009</v>
      </c>
      <c r="E34" s="521">
        <f>'Table of Content 2'!E44</f>
        <v>6390.7199999999993</v>
      </c>
    </row>
    <row r="35" spans="1:5" ht="51">
      <c r="A35" s="502">
        <v>29</v>
      </c>
      <c r="B35" s="500" t="s">
        <v>455</v>
      </c>
      <c r="C35" s="500" t="s">
        <v>1442</v>
      </c>
      <c r="D35" s="501" t="s">
        <v>2009</v>
      </c>
      <c r="E35" s="521">
        <f>'Table of Content 2'!E45</f>
        <v>561.87699999999995</v>
      </c>
    </row>
    <row r="36" spans="1:5">
      <c r="A36" s="550"/>
      <c r="B36" s="553"/>
      <c r="C36" s="553"/>
      <c r="D36" s="552"/>
      <c r="E36" s="561"/>
    </row>
    <row r="37" spans="1:5" ht="51">
      <c r="A37" s="502">
        <v>30</v>
      </c>
      <c r="B37" s="500" t="s">
        <v>1443</v>
      </c>
      <c r="C37" s="500" t="s">
        <v>1444</v>
      </c>
      <c r="D37" s="501" t="s">
        <v>2009</v>
      </c>
      <c r="E37" s="497">
        <f>'Table of Content 2'!E50</f>
        <v>8941.9699999999993</v>
      </c>
    </row>
    <row r="38" spans="1:5" ht="51">
      <c r="A38" s="502">
        <v>31</v>
      </c>
      <c r="B38" s="500" t="s">
        <v>1445</v>
      </c>
      <c r="C38" s="500" t="s">
        <v>1446</v>
      </c>
      <c r="D38" s="501" t="s">
        <v>2009</v>
      </c>
      <c r="E38" s="497">
        <f>'Table of Content 2'!E51</f>
        <v>8421.93</v>
      </c>
    </row>
    <row r="39" spans="1:5" ht="51">
      <c r="A39" s="502">
        <v>32</v>
      </c>
      <c r="B39" s="500" t="s">
        <v>1887</v>
      </c>
      <c r="C39" s="500" t="s">
        <v>1888</v>
      </c>
      <c r="D39" s="501" t="s">
        <v>2009</v>
      </c>
      <c r="E39" s="497">
        <f>'Table of Content 2'!E52</f>
        <v>7585.9800000000005</v>
      </c>
    </row>
    <row r="40" spans="1:5" ht="25.5">
      <c r="A40" s="502">
        <v>33</v>
      </c>
      <c r="B40" s="500" t="s">
        <v>1889</v>
      </c>
      <c r="C40" s="500" t="s">
        <v>1890</v>
      </c>
      <c r="D40" s="501" t="s">
        <v>2009</v>
      </c>
      <c r="E40" s="497">
        <f>'Table of Content 2'!E53</f>
        <v>3342.2599999999998</v>
      </c>
    </row>
    <row r="41" spans="1:5" ht="38.25">
      <c r="A41" s="502">
        <v>34</v>
      </c>
      <c r="B41" s="500" t="s">
        <v>1891</v>
      </c>
      <c r="C41" s="500" t="s">
        <v>1892</v>
      </c>
      <c r="D41" s="501" t="s">
        <v>2009</v>
      </c>
      <c r="E41" s="497">
        <f>'Table of Content 2'!E54</f>
        <v>3576.46</v>
      </c>
    </row>
    <row r="42" spans="1:5" ht="51">
      <c r="A42" s="502">
        <v>35</v>
      </c>
      <c r="B42" s="500" t="s">
        <v>92</v>
      </c>
      <c r="C42" s="500" t="s">
        <v>673</v>
      </c>
      <c r="D42" s="501" t="s">
        <v>2009</v>
      </c>
      <c r="E42" s="497">
        <f>'Table of Content 2'!E55</f>
        <v>7189.04</v>
      </c>
    </row>
    <row r="43" spans="1:5" ht="51">
      <c r="A43" s="502">
        <v>36</v>
      </c>
      <c r="B43" s="500" t="s">
        <v>2398</v>
      </c>
      <c r="C43" s="500" t="s">
        <v>2399</v>
      </c>
      <c r="D43" s="501" t="s">
        <v>2009</v>
      </c>
      <c r="E43" s="497">
        <f>'Table of Content 2'!E56</f>
        <v>2693.43</v>
      </c>
    </row>
    <row r="44" spans="1:5" ht="51">
      <c r="A44" s="502">
        <v>37</v>
      </c>
      <c r="B44" s="500" t="s">
        <v>699</v>
      </c>
      <c r="C44" s="500" t="s">
        <v>700</v>
      </c>
      <c r="D44" s="501" t="s">
        <v>2009</v>
      </c>
      <c r="E44" s="497" t="str">
        <f>'Table of Content 2'!E60</f>
        <v>–</v>
      </c>
    </row>
    <row r="45" spans="1:5" ht="51">
      <c r="A45" s="502">
        <v>38</v>
      </c>
      <c r="B45" s="500" t="s">
        <v>701</v>
      </c>
      <c r="C45" s="500" t="s">
        <v>702</v>
      </c>
      <c r="D45" s="501" t="s">
        <v>2009</v>
      </c>
      <c r="E45" s="497">
        <f>'Table of Content 2'!E61</f>
        <v>7929.3300000000008</v>
      </c>
    </row>
    <row r="46" spans="1:5">
      <c r="A46" s="502">
        <v>39</v>
      </c>
      <c r="B46" s="500" t="s">
        <v>1923</v>
      </c>
      <c r="C46" s="500" t="s">
        <v>1924</v>
      </c>
      <c r="D46" s="501" t="s">
        <v>2009</v>
      </c>
      <c r="E46" s="497">
        <f>'Table of Content 2'!E62</f>
        <v>8751.58</v>
      </c>
    </row>
    <row r="47" spans="1:5">
      <c r="A47" s="550"/>
      <c r="B47" s="553"/>
      <c r="C47" s="553"/>
      <c r="D47" s="552"/>
      <c r="E47" s="503"/>
    </row>
    <row r="48" spans="1:5" ht="76.5">
      <c r="A48" s="502">
        <v>40</v>
      </c>
      <c r="B48" s="500" t="s">
        <v>1925</v>
      </c>
      <c r="C48" s="500" t="s">
        <v>1926</v>
      </c>
      <c r="D48" s="501" t="s">
        <v>2009</v>
      </c>
      <c r="E48" s="521">
        <f>'Table of Content 2'!E63</f>
        <v>10246.01</v>
      </c>
    </row>
    <row r="49" spans="1:5" ht="76.5">
      <c r="A49" s="502">
        <v>41</v>
      </c>
      <c r="B49" s="500" t="s">
        <v>2353</v>
      </c>
      <c r="C49" s="500" t="s">
        <v>2354</v>
      </c>
      <c r="D49" s="501" t="s">
        <v>2009</v>
      </c>
      <c r="E49" s="521">
        <f>'Table of Content 2'!E64</f>
        <v>11419.01</v>
      </c>
    </row>
    <row r="50" spans="1:5" ht="76.5">
      <c r="A50" s="502">
        <v>42</v>
      </c>
      <c r="B50" s="500" t="s">
        <v>2355</v>
      </c>
      <c r="C50" s="500" t="s">
        <v>2356</v>
      </c>
      <c r="D50" s="501" t="s">
        <v>2009</v>
      </c>
      <c r="E50" s="521">
        <f>'Table of Content 2'!E65</f>
        <v>12729.230000000001</v>
      </c>
    </row>
    <row r="51" spans="1:5" ht="76.5">
      <c r="A51" s="502">
        <v>43</v>
      </c>
      <c r="B51" s="500" t="s">
        <v>1855</v>
      </c>
      <c r="C51" s="500" t="s">
        <v>1856</v>
      </c>
      <c r="D51" s="501" t="s">
        <v>2009</v>
      </c>
      <c r="E51" s="521">
        <f>'Table of Content 2'!E66</f>
        <v>16181.589999999998</v>
      </c>
    </row>
    <row r="52" spans="1:5" ht="63.75">
      <c r="A52" s="502">
        <v>44</v>
      </c>
      <c r="B52" s="500" t="s">
        <v>1857</v>
      </c>
      <c r="C52" s="500" t="s">
        <v>1858</v>
      </c>
      <c r="D52" s="501" t="s">
        <v>2009</v>
      </c>
      <c r="E52" s="521">
        <f>'Table of Content 2'!E67</f>
        <v>9823.17</v>
      </c>
    </row>
    <row r="53" spans="1:5" ht="63.75">
      <c r="A53" s="502">
        <v>45</v>
      </c>
      <c r="B53" s="500" t="s">
        <v>1859</v>
      </c>
      <c r="C53" s="500" t="s">
        <v>1860</v>
      </c>
      <c r="D53" s="501" t="s">
        <v>2009</v>
      </c>
      <c r="E53" s="521">
        <f>'Table of Content 2'!E68</f>
        <v>11425.82</v>
      </c>
    </row>
    <row r="54" spans="1:5" ht="76.5">
      <c r="A54" s="502">
        <v>46</v>
      </c>
      <c r="B54" s="500" t="s">
        <v>2809</v>
      </c>
      <c r="C54" s="500" t="s">
        <v>2810</v>
      </c>
      <c r="D54" s="501" t="s">
        <v>2009</v>
      </c>
      <c r="E54" s="521">
        <f>'Table of Content 2'!E69</f>
        <v>12719.460000000001</v>
      </c>
    </row>
    <row r="55" spans="1:5" ht="63.75">
      <c r="A55" s="502">
        <v>47</v>
      </c>
      <c r="B55" s="500" t="s">
        <v>2811</v>
      </c>
      <c r="C55" s="500" t="s">
        <v>2812</v>
      </c>
      <c r="D55" s="501" t="s">
        <v>2813</v>
      </c>
      <c r="E55" s="521">
        <f>'Table of Content 2'!E70</f>
        <v>16171.81</v>
      </c>
    </row>
    <row r="56" spans="1:5" ht="63.75">
      <c r="A56" s="502">
        <v>47.1</v>
      </c>
      <c r="B56" s="500" t="s">
        <v>2811</v>
      </c>
      <c r="C56" s="500" t="s">
        <v>2812</v>
      </c>
      <c r="D56" s="501" t="s">
        <v>3330</v>
      </c>
      <c r="E56" s="521">
        <f>FLOOR(E55/1000,0.01)</f>
        <v>16.170000000000002</v>
      </c>
    </row>
    <row r="57" spans="1:5">
      <c r="A57" s="550"/>
      <c r="B57" s="553"/>
      <c r="C57" s="553"/>
      <c r="D57" s="552"/>
      <c r="E57" s="561"/>
    </row>
    <row r="58" spans="1:5" ht="63.75">
      <c r="A58" s="502">
        <v>48</v>
      </c>
      <c r="B58" s="495" t="s">
        <v>2814</v>
      </c>
      <c r="C58" s="495" t="s">
        <v>2815</v>
      </c>
      <c r="D58" s="501" t="s">
        <v>2003</v>
      </c>
      <c r="E58" s="497">
        <f>'Table of Content 2'!E78</f>
        <v>514.59</v>
      </c>
    </row>
    <row r="59" spans="1:5" ht="76.5">
      <c r="A59" s="502">
        <v>49</v>
      </c>
      <c r="B59" s="495" t="s">
        <v>2816</v>
      </c>
      <c r="C59" s="495" t="s">
        <v>2817</v>
      </c>
      <c r="D59" s="501" t="s">
        <v>2003</v>
      </c>
      <c r="E59" s="497">
        <f>'Table of Content 2'!E79</f>
        <v>768.65</v>
      </c>
    </row>
    <row r="60" spans="1:5" ht="76.5">
      <c r="A60" s="502">
        <v>50</v>
      </c>
      <c r="B60" s="495" t="s">
        <v>2818</v>
      </c>
      <c r="C60" s="495" t="s">
        <v>2680</v>
      </c>
      <c r="D60" s="501" t="s">
        <v>2003</v>
      </c>
      <c r="E60" s="497">
        <f>'Table of Content 2'!E80</f>
        <v>604.99</v>
      </c>
    </row>
    <row r="61" spans="1:5" ht="76.5">
      <c r="A61" s="502">
        <v>50.1</v>
      </c>
      <c r="B61" s="495" t="s">
        <v>2681</v>
      </c>
      <c r="C61" s="495" t="s">
        <v>2682</v>
      </c>
      <c r="D61" s="501" t="s">
        <v>2003</v>
      </c>
      <c r="E61" s="497">
        <f>'Table of Content 2'!E81</f>
        <v>800.16</v>
      </c>
    </row>
    <row r="62" spans="1:5" ht="76.5">
      <c r="A62" s="502">
        <v>51</v>
      </c>
      <c r="B62" s="495" t="s">
        <v>2683</v>
      </c>
      <c r="C62" s="495" t="s">
        <v>2684</v>
      </c>
      <c r="D62" s="501" t="s">
        <v>2003</v>
      </c>
      <c r="E62" s="497">
        <f>'Table of Content 2'!E82</f>
        <v>633.61</v>
      </c>
    </row>
    <row r="63" spans="1:5" ht="76.5">
      <c r="A63" s="502">
        <v>51.1</v>
      </c>
      <c r="B63" s="495" t="s">
        <v>2828</v>
      </c>
      <c r="C63" s="495" t="s">
        <v>2829</v>
      </c>
      <c r="D63" s="501" t="s">
        <v>2003</v>
      </c>
      <c r="E63" s="497">
        <f>'Table of Content 2'!E83</f>
        <v>778.2</v>
      </c>
    </row>
    <row r="64" spans="1:5" ht="76.5">
      <c r="A64" s="502">
        <v>51.2</v>
      </c>
      <c r="B64" s="495" t="s">
        <v>2830</v>
      </c>
      <c r="C64" s="495" t="s">
        <v>2831</v>
      </c>
      <c r="D64" s="501" t="s">
        <v>2003</v>
      </c>
      <c r="E64" s="497">
        <f>'Table of Content 2'!E84</f>
        <v>925.35</v>
      </c>
    </row>
    <row r="65" spans="1:5" ht="38.25">
      <c r="A65" s="502">
        <v>52</v>
      </c>
      <c r="B65" s="495" t="s">
        <v>2832</v>
      </c>
      <c r="C65" s="495" t="s">
        <v>2833</v>
      </c>
      <c r="D65" s="501" t="s">
        <v>2003</v>
      </c>
      <c r="E65" s="497">
        <f>'Table of Content 2'!E85</f>
        <v>165.88</v>
      </c>
    </row>
    <row r="66" spans="1:5" ht="25.5">
      <c r="A66" s="504">
        <v>53</v>
      </c>
      <c r="B66" s="505" t="s">
        <v>2834</v>
      </c>
      <c r="C66" s="495" t="s">
        <v>2835</v>
      </c>
      <c r="D66" s="506" t="s">
        <v>2003</v>
      </c>
      <c r="E66" s="497">
        <f>'Table of Content 2'!E86</f>
        <v>172.33</v>
      </c>
    </row>
    <row r="67" spans="1:5">
      <c r="A67" s="562"/>
      <c r="B67" s="563"/>
      <c r="C67" s="551"/>
      <c r="D67" s="564"/>
      <c r="E67" s="503"/>
    </row>
    <row r="68" spans="1:5" s="509" customFormat="1" ht="51">
      <c r="A68" s="504">
        <v>54</v>
      </c>
      <c r="B68" s="507" t="s">
        <v>2836</v>
      </c>
      <c r="C68" s="507" t="s">
        <v>2837</v>
      </c>
      <c r="D68" s="508" t="s">
        <v>2003</v>
      </c>
      <c r="E68" s="521">
        <f>'Table of Content 2'!E90</f>
        <v>872.68</v>
      </c>
    </row>
    <row r="69" spans="1:5" s="509" customFormat="1" ht="51">
      <c r="A69" s="510">
        <v>55</v>
      </c>
      <c r="B69" s="507" t="s">
        <v>1439</v>
      </c>
      <c r="C69" s="507" t="s">
        <v>1472</v>
      </c>
      <c r="D69" s="508" t="s">
        <v>2003</v>
      </c>
      <c r="E69" s="521">
        <f>'Table of Content 2'!E91</f>
        <v>817.26</v>
      </c>
    </row>
    <row r="70" spans="1:5" s="509" customFormat="1" ht="51">
      <c r="A70" s="510">
        <v>55.1</v>
      </c>
      <c r="B70" s="507" t="s">
        <v>2413</v>
      </c>
      <c r="C70" s="507" t="s">
        <v>2414</v>
      </c>
      <c r="D70" s="508" t="s">
        <v>2003</v>
      </c>
      <c r="E70" s="521">
        <f>'Table of Content 2'!E92</f>
        <v>768.09</v>
      </c>
    </row>
    <row r="71" spans="1:5" s="509" customFormat="1" ht="63.75">
      <c r="A71" s="510">
        <v>56</v>
      </c>
      <c r="B71" s="507" t="s">
        <v>2415</v>
      </c>
      <c r="C71" s="507" t="s">
        <v>2416</v>
      </c>
      <c r="D71" s="508" t="s">
        <v>2003</v>
      </c>
      <c r="E71" s="521">
        <f>'Table of Content 2'!E93</f>
        <v>996.91</v>
      </c>
    </row>
    <row r="72" spans="1:5" s="509" customFormat="1" ht="63.75">
      <c r="A72" s="510">
        <v>57</v>
      </c>
      <c r="B72" s="507" t="s">
        <v>2436</v>
      </c>
      <c r="C72" s="507" t="s">
        <v>1469</v>
      </c>
      <c r="D72" s="508" t="s">
        <v>2417</v>
      </c>
      <c r="E72" s="521" t="e">
        <f>'Table of Content 2'!#REF!</f>
        <v>#REF!</v>
      </c>
    </row>
    <row r="73" spans="1:5" s="509" customFormat="1" ht="63.75">
      <c r="A73" s="510">
        <v>57.1</v>
      </c>
      <c r="B73" s="507" t="s">
        <v>2436</v>
      </c>
      <c r="C73" s="507" t="s">
        <v>1469</v>
      </c>
      <c r="D73" s="508" t="s">
        <v>2003</v>
      </c>
      <c r="E73" s="521" t="e">
        <f>'Table of Content 2'!#REF!</f>
        <v>#REF!</v>
      </c>
    </row>
    <row r="74" spans="1:5" s="509" customFormat="1" ht="63.75">
      <c r="A74" s="510">
        <v>58</v>
      </c>
      <c r="B74" s="507" t="s">
        <v>864</v>
      </c>
      <c r="C74" s="507" t="s">
        <v>1471</v>
      </c>
      <c r="D74" s="508" t="s">
        <v>2417</v>
      </c>
      <c r="E74" s="521" t="e">
        <f>'Table of Content 2'!#REF!</f>
        <v>#REF!</v>
      </c>
    </row>
    <row r="75" spans="1:5" s="509" customFormat="1" ht="63.75">
      <c r="A75" s="510">
        <v>58.1</v>
      </c>
      <c r="B75" s="507" t="s">
        <v>864</v>
      </c>
      <c r="C75" s="507" t="s">
        <v>1471</v>
      </c>
      <c r="D75" s="511" t="s">
        <v>2003</v>
      </c>
      <c r="E75" s="521" t="e">
        <f>'Table of Content 2'!#REF!</f>
        <v>#REF!</v>
      </c>
    </row>
    <row r="76" spans="1:5" s="509" customFormat="1" ht="63.75">
      <c r="A76" s="510">
        <v>58.2</v>
      </c>
      <c r="B76" s="507" t="s">
        <v>118</v>
      </c>
      <c r="C76" s="507" t="s">
        <v>1470</v>
      </c>
      <c r="D76" s="508" t="s">
        <v>2417</v>
      </c>
      <c r="E76" s="521" t="e">
        <f>'Table of Content 2'!#REF!</f>
        <v>#REF!</v>
      </c>
    </row>
    <row r="77" spans="1:5" s="509" customFormat="1" ht="63.75">
      <c r="A77" s="510">
        <v>58.3</v>
      </c>
      <c r="B77" s="507" t="s">
        <v>118</v>
      </c>
      <c r="C77" s="507" t="s">
        <v>1470</v>
      </c>
      <c r="D77" s="511" t="s">
        <v>2003</v>
      </c>
      <c r="E77" s="521" t="e">
        <f>'Table of Content 2'!#REF!</f>
        <v>#REF!</v>
      </c>
    </row>
    <row r="78" spans="1:5" s="509" customFormat="1">
      <c r="A78" s="510">
        <v>59</v>
      </c>
      <c r="B78" s="507" t="s">
        <v>2418</v>
      </c>
      <c r="C78" s="507" t="s">
        <v>2418</v>
      </c>
      <c r="D78" s="508" t="s">
        <v>2003</v>
      </c>
      <c r="E78" s="521">
        <f>'Table of Content 2'!E101</f>
        <v>1048.3</v>
      </c>
    </row>
    <row r="79" spans="1:5" s="509" customFormat="1" ht="38.25">
      <c r="A79" s="510">
        <v>60</v>
      </c>
      <c r="B79" s="507" t="s">
        <v>2419</v>
      </c>
      <c r="C79" s="507" t="s">
        <v>2420</v>
      </c>
      <c r="D79" s="508" t="s">
        <v>2003</v>
      </c>
      <c r="E79" s="521">
        <f>'Table of Content 2'!E102</f>
        <v>660.02</v>
      </c>
    </row>
    <row r="80" spans="1:5" s="509" customFormat="1">
      <c r="A80" s="510">
        <v>61</v>
      </c>
      <c r="B80" s="507" t="s">
        <v>2421</v>
      </c>
      <c r="C80" s="507" t="s">
        <v>2421</v>
      </c>
      <c r="D80" s="508" t="s">
        <v>2417</v>
      </c>
      <c r="E80" s="521">
        <f>'Table of Content 2'!E103</f>
        <v>1100.04</v>
      </c>
    </row>
    <row r="81" spans="1:5" s="509" customFormat="1">
      <c r="A81" s="550"/>
      <c r="B81" s="553"/>
      <c r="C81" s="553"/>
      <c r="D81" s="552"/>
      <c r="E81" s="561"/>
    </row>
    <row r="82" spans="1:5" s="509" customFormat="1" ht="25.5">
      <c r="A82" s="510">
        <v>62</v>
      </c>
      <c r="B82" s="507" t="s">
        <v>2850</v>
      </c>
      <c r="C82" s="507" t="s">
        <v>2850</v>
      </c>
      <c r="D82" s="508" t="s">
        <v>2003</v>
      </c>
      <c r="E82" s="497">
        <f>'Table of Content 2'!E117</f>
        <v>156449.39000000001</v>
      </c>
    </row>
    <row r="83" spans="1:5" s="509" customFormat="1" ht="63.75">
      <c r="A83" s="510">
        <v>63</v>
      </c>
      <c r="B83" s="507" t="s">
        <v>301</v>
      </c>
      <c r="C83" s="507" t="s">
        <v>302</v>
      </c>
      <c r="D83" s="508" t="s">
        <v>2009</v>
      </c>
      <c r="E83" s="497">
        <f>'Table of Content 2'!E118</f>
        <v>3896.11</v>
      </c>
    </row>
    <row r="84" spans="1:5" s="509" customFormat="1" ht="51">
      <c r="A84" s="510">
        <v>64</v>
      </c>
      <c r="B84" s="507" t="s">
        <v>303</v>
      </c>
      <c r="C84" s="507" t="s">
        <v>304</v>
      </c>
      <c r="D84" s="508" t="s">
        <v>2003</v>
      </c>
      <c r="E84" s="497">
        <f>'Table of Content 2'!E119</f>
        <v>1632.6380000000001</v>
      </c>
    </row>
    <row r="85" spans="1:5" s="509" customFormat="1" ht="51">
      <c r="A85" s="510">
        <v>65</v>
      </c>
      <c r="B85" s="507" t="s">
        <v>305</v>
      </c>
      <c r="C85" s="507" t="s">
        <v>3480</v>
      </c>
      <c r="D85" s="508" t="s">
        <v>2003</v>
      </c>
      <c r="E85" s="497">
        <f>'Table of Content 2'!E120</f>
        <v>175919.87</v>
      </c>
    </row>
    <row r="86" spans="1:5" s="509" customFormat="1" ht="51">
      <c r="A86" s="510">
        <v>66</v>
      </c>
      <c r="B86" s="500" t="s">
        <v>3481</v>
      </c>
      <c r="C86" s="500" t="s">
        <v>3482</v>
      </c>
      <c r="D86" s="501" t="s">
        <v>2003</v>
      </c>
      <c r="E86" s="497">
        <f>'Table of Content 2'!E121</f>
        <v>9470.64</v>
      </c>
    </row>
    <row r="87" spans="1:5" ht="51">
      <c r="A87" s="510">
        <v>67</v>
      </c>
      <c r="B87" s="500" t="s">
        <v>2851</v>
      </c>
      <c r="C87" s="500" t="s">
        <v>2852</v>
      </c>
      <c r="D87" s="501" t="s">
        <v>2003</v>
      </c>
      <c r="E87" s="497">
        <f>'Table of Content 2'!E122</f>
        <v>6106.09</v>
      </c>
    </row>
    <row r="88" spans="1:5" ht="51">
      <c r="A88" s="510">
        <v>68</v>
      </c>
      <c r="B88" s="500" t="s">
        <v>2192</v>
      </c>
      <c r="C88" s="500" t="s">
        <v>2193</v>
      </c>
      <c r="D88" s="501" t="s">
        <v>2003</v>
      </c>
      <c r="E88" s="497">
        <f>'Table of Content 2'!E123</f>
        <v>6208.43</v>
      </c>
    </row>
    <row r="89" spans="1:5" ht="51">
      <c r="A89" s="510">
        <v>69</v>
      </c>
      <c r="B89" s="500" t="s">
        <v>2194</v>
      </c>
      <c r="C89" s="500" t="s">
        <v>3175</v>
      </c>
      <c r="D89" s="501" t="s">
        <v>2003</v>
      </c>
      <c r="E89" s="497">
        <f>'Table of Content 2'!E124</f>
        <v>4908.8</v>
      </c>
    </row>
    <row r="90" spans="1:5" ht="63.75">
      <c r="A90" s="510">
        <v>70</v>
      </c>
      <c r="B90" s="500" t="s">
        <v>3176</v>
      </c>
      <c r="C90" s="500" t="s">
        <v>3177</v>
      </c>
      <c r="D90" s="501" t="s">
        <v>2003</v>
      </c>
      <c r="E90" s="497">
        <f>'Table of Content 2'!E125</f>
        <v>5261.21</v>
      </c>
    </row>
    <row r="91" spans="1:5" ht="51">
      <c r="A91" s="510">
        <v>71</v>
      </c>
      <c r="B91" s="500" t="s">
        <v>3178</v>
      </c>
      <c r="C91" s="500" t="s">
        <v>314</v>
      </c>
      <c r="D91" s="501" t="s">
        <v>2003</v>
      </c>
      <c r="E91" s="497">
        <f>'Table of Content 2'!E126</f>
        <v>6023.7</v>
      </c>
    </row>
    <row r="92" spans="1:5" ht="63.75">
      <c r="A92" s="510">
        <v>72</v>
      </c>
      <c r="B92" s="500" t="s">
        <v>315</v>
      </c>
      <c r="C92" s="500" t="s">
        <v>1367</v>
      </c>
      <c r="D92" s="501" t="s">
        <v>2003</v>
      </c>
      <c r="E92" s="497">
        <f>'Table of Content 2'!E127</f>
        <v>5513.27</v>
      </c>
    </row>
    <row r="93" spans="1:5" ht="63.75">
      <c r="A93" s="510">
        <v>73</v>
      </c>
      <c r="B93" s="500" t="s">
        <v>1368</v>
      </c>
      <c r="C93" s="500" t="s">
        <v>2887</v>
      </c>
      <c r="D93" s="501" t="s">
        <v>2003</v>
      </c>
      <c r="E93" s="497">
        <f>'Table of Content 2'!E128</f>
        <v>3382.66</v>
      </c>
    </row>
    <row r="94" spans="1:5" ht="38.25">
      <c r="A94" s="502">
        <v>73.099999999999994</v>
      </c>
      <c r="B94" s="500" t="s">
        <v>2888</v>
      </c>
      <c r="C94" s="500" t="s">
        <v>2889</v>
      </c>
      <c r="D94" s="501" t="s">
        <v>2003</v>
      </c>
      <c r="E94" s="497">
        <f>'Table of Content 2'!E129</f>
        <v>3546.32</v>
      </c>
    </row>
    <row r="95" spans="1:5" ht="51">
      <c r="A95" s="502">
        <v>73.2</v>
      </c>
      <c r="B95" s="500" t="s">
        <v>2890</v>
      </c>
      <c r="C95" s="500" t="s">
        <v>2891</v>
      </c>
      <c r="D95" s="501" t="s">
        <v>2003</v>
      </c>
      <c r="E95" s="497">
        <f>'Table of Content 2'!E130</f>
        <v>360.12</v>
      </c>
    </row>
    <row r="96" spans="1:5" ht="38.25">
      <c r="A96" s="502">
        <v>74</v>
      </c>
      <c r="B96" s="500" t="s">
        <v>2892</v>
      </c>
      <c r="C96" s="500" t="s">
        <v>2893</v>
      </c>
      <c r="D96" s="501" t="s">
        <v>2003</v>
      </c>
      <c r="E96" s="497">
        <f>'Table of Content 2'!E131</f>
        <v>833.31999999999994</v>
      </c>
    </row>
    <row r="97" spans="1:5" ht="38.25">
      <c r="A97" s="502">
        <v>75</v>
      </c>
      <c r="B97" s="500" t="s">
        <v>2894</v>
      </c>
      <c r="C97" s="500" t="s">
        <v>2895</v>
      </c>
      <c r="D97" s="501" t="s">
        <v>2003</v>
      </c>
      <c r="E97" s="497">
        <f>'Table of Content 2'!E132</f>
        <v>1043.6799999999998</v>
      </c>
    </row>
    <row r="98" spans="1:5" ht="38.25">
      <c r="A98" s="502">
        <v>76</v>
      </c>
      <c r="B98" s="500" t="s">
        <v>1975</v>
      </c>
      <c r="C98" s="500" t="s">
        <v>1976</v>
      </c>
      <c r="D98" s="501" t="s">
        <v>2003</v>
      </c>
      <c r="E98" s="497">
        <f>'Table of Content 2'!E133</f>
        <v>473.23</v>
      </c>
    </row>
    <row r="99" spans="1:5" ht="38.25">
      <c r="A99" s="502">
        <v>77</v>
      </c>
      <c r="B99" s="500" t="s">
        <v>2911</v>
      </c>
      <c r="C99" s="500" t="s">
        <v>2912</v>
      </c>
      <c r="D99" s="501" t="s">
        <v>2003</v>
      </c>
      <c r="E99" s="497">
        <f>'Table of Content 2'!E134</f>
        <v>1346.56</v>
      </c>
    </row>
    <row r="100" spans="1:5" ht="25.5">
      <c r="A100" s="502">
        <v>78</v>
      </c>
      <c r="B100" s="500" t="s">
        <v>2913</v>
      </c>
      <c r="C100" s="500" t="s">
        <v>2914</v>
      </c>
      <c r="D100" s="501" t="s">
        <v>2003</v>
      </c>
      <c r="E100" s="497">
        <f>'Table of Content 2'!E135</f>
        <v>884.38</v>
      </c>
    </row>
    <row r="101" spans="1:5" ht="51">
      <c r="A101" s="502">
        <v>79</v>
      </c>
      <c r="B101" s="500" t="s">
        <v>2915</v>
      </c>
      <c r="C101" s="500" t="s">
        <v>2916</v>
      </c>
      <c r="D101" s="501" t="s">
        <v>2003</v>
      </c>
      <c r="E101" s="497">
        <f>'Table of Content 2'!E136</f>
        <v>2527.87</v>
      </c>
    </row>
    <row r="102" spans="1:5" ht="51">
      <c r="A102" s="502">
        <v>80</v>
      </c>
      <c r="B102" s="500" t="s">
        <v>2917</v>
      </c>
      <c r="C102" s="500" t="s">
        <v>3561</v>
      </c>
      <c r="D102" s="501" t="s">
        <v>2003</v>
      </c>
      <c r="E102" s="497">
        <f>'Table of Content 2'!E137</f>
        <v>2677.85</v>
      </c>
    </row>
    <row r="103" spans="1:5" ht="25.5">
      <c r="A103" s="502">
        <v>81</v>
      </c>
      <c r="B103" s="500" t="s">
        <v>3562</v>
      </c>
      <c r="C103" s="500" t="s">
        <v>3562</v>
      </c>
      <c r="D103" s="501" t="s">
        <v>2003</v>
      </c>
      <c r="E103" s="497">
        <f>'Table of Content 2'!E138</f>
        <v>1179.74</v>
      </c>
    </row>
    <row r="104" spans="1:5" ht="33" customHeight="1">
      <c r="A104" s="502">
        <v>81.099999999999994</v>
      </c>
      <c r="B104" s="500" t="s">
        <v>3563</v>
      </c>
      <c r="C104" s="500" t="s">
        <v>3563</v>
      </c>
      <c r="D104" s="501" t="s">
        <v>2003</v>
      </c>
      <c r="E104" s="497">
        <f>'Table of Content 2'!E139</f>
        <v>118266</v>
      </c>
    </row>
    <row r="105" spans="1:5" ht="38.25">
      <c r="A105" s="502">
        <v>82</v>
      </c>
      <c r="B105" s="500" t="s">
        <v>3564</v>
      </c>
      <c r="C105" s="500" t="s">
        <v>3565</v>
      </c>
      <c r="D105" s="501" t="s">
        <v>2003</v>
      </c>
      <c r="E105" s="497">
        <f>'Table of Content 2'!E140</f>
        <v>5932.55</v>
      </c>
    </row>
    <row r="106" spans="1:5" ht="38.25">
      <c r="A106" s="502">
        <v>82.1</v>
      </c>
      <c r="B106" s="500" t="s">
        <v>3566</v>
      </c>
      <c r="C106" s="500" t="s">
        <v>3567</v>
      </c>
      <c r="D106" s="501" t="s">
        <v>2003</v>
      </c>
      <c r="E106" s="497">
        <f>'Table of Content 2'!E141</f>
        <v>6380.74</v>
      </c>
    </row>
    <row r="107" spans="1:5" ht="38.25">
      <c r="A107" s="502">
        <v>83</v>
      </c>
      <c r="B107" s="500" t="s">
        <v>3568</v>
      </c>
      <c r="C107" s="500" t="s">
        <v>3569</v>
      </c>
      <c r="D107" s="501" t="s">
        <v>2003</v>
      </c>
      <c r="E107" s="497">
        <f>'Table of Content 2'!E142</f>
        <v>6073.85</v>
      </c>
    </row>
    <row r="108" spans="1:5" ht="51">
      <c r="A108" s="502">
        <v>84</v>
      </c>
      <c r="B108" s="495" t="s">
        <v>113</v>
      </c>
      <c r="C108" s="495" t="s">
        <v>114</v>
      </c>
      <c r="D108" s="501" t="s">
        <v>2009</v>
      </c>
      <c r="E108" s="497">
        <f>'Table of Content 2'!E143</f>
        <v>3955.81</v>
      </c>
    </row>
    <row r="109" spans="1:5" ht="51">
      <c r="A109" s="502">
        <v>85</v>
      </c>
      <c r="B109" s="500" t="s">
        <v>115</v>
      </c>
      <c r="C109" s="500" t="s">
        <v>116</v>
      </c>
      <c r="D109" s="501" t="s">
        <v>2003</v>
      </c>
      <c r="E109" s="497">
        <f>'Table of Content 2'!E144</f>
        <v>4868.01</v>
      </c>
    </row>
    <row r="110" spans="1:5">
      <c r="A110" s="502">
        <v>86</v>
      </c>
      <c r="B110" s="500" t="s">
        <v>117</v>
      </c>
      <c r="C110" s="500" t="s">
        <v>2023</v>
      </c>
      <c r="D110" s="501" t="s">
        <v>2813</v>
      </c>
      <c r="E110" s="497">
        <f>'Table of Content 2'!E145</f>
        <v>4261.6899999999996</v>
      </c>
    </row>
    <row r="111" spans="1:5">
      <c r="A111" s="550"/>
      <c r="B111" s="553"/>
      <c r="C111" s="553"/>
      <c r="D111" s="552"/>
      <c r="E111" s="503"/>
    </row>
    <row r="112" spans="1:5" ht="63.75">
      <c r="A112" s="502">
        <v>87</v>
      </c>
      <c r="B112" s="500" t="s">
        <v>2024</v>
      </c>
      <c r="C112" s="500" t="s">
        <v>2025</v>
      </c>
      <c r="D112" s="501" t="s">
        <v>2003</v>
      </c>
      <c r="E112" s="521">
        <f>'Table of Content 2'!E151</f>
        <v>479.99</v>
      </c>
    </row>
    <row r="113" spans="1:5" ht="63.75">
      <c r="A113" s="502">
        <v>88</v>
      </c>
      <c r="B113" s="500" t="s">
        <v>2026</v>
      </c>
      <c r="C113" s="500" t="s">
        <v>2027</v>
      </c>
      <c r="D113" s="501" t="s">
        <v>2003</v>
      </c>
      <c r="E113" s="521">
        <f>'Table of Content 2'!E152</f>
        <v>605.65</v>
      </c>
    </row>
    <row r="114" spans="1:5" ht="63.75">
      <c r="A114" s="502">
        <v>89</v>
      </c>
      <c r="B114" s="500" t="s">
        <v>2028</v>
      </c>
      <c r="C114" s="500" t="s">
        <v>2029</v>
      </c>
      <c r="D114" s="501" t="s">
        <v>2003</v>
      </c>
      <c r="E114" s="521">
        <f>'Table of Content 2'!E153</f>
        <v>843.41</v>
      </c>
    </row>
    <row r="115" spans="1:5" ht="51">
      <c r="A115" s="502">
        <v>90</v>
      </c>
      <c r="B115" s="500" t="s">
        <v>2030</v>
      </c>
      <c r="C115" s="500" t="s">
        <v>2031</v>
      </c>
      <c r="D115" s="501" t="s">
        <v>2003</v>
      </c>
      <c r="E115" s="521">
        <f>'Table of Content 2'!E154</f>
        <v>1235.1500000000001</v>
      </c>
    </row>
    <row r="116" spans="1:5" ht="51">
      <c r="A116" s="502">
        <v>91</v>
      </c>
      <c r="B116" s="500" t="s">
        <v>2038</v>
      </c>
      <c r="C116" s="500" t="s">
        <v>3532</v>
      </c>
      <c r="D116" s="501" t="s">
        <v>2003</v>
      </c>
      <c r="E116" s="521">
        <f>'Table of Content 2'!E155</f>
        <v>2241.17</v>
      </c>
    </row>
    <row r="117" spans="1:5" ht="25.5">
      <c r="A117" s="502">
        <v>92</v>
      </c>
      <c r="B117" s="500" t="s">
        <v>3533</v>
      </c>
      <c r="C117" s="500" t="s">
        <v>3533</v>
      </c>
      <c r="D117" s="501" t="s">
        <v>2003</v>
      </c>
      <c r="E117" s="521">
        <f>'Table of Content 2'!E156</f>
        <v>2245.23</v>
      </c>
    </row>
    <row r="118" spans="1:5" ht="51">
      <c r="A118" s="502">
        <v>93</v>
      </c>
      <c r="B118" s="500" t="s">
        <v>2039</v>
      </c>
      <c r="C118" s="500" t="s">
        <v>2042</v>
      </c>
      <c r="D118" s="501" t="s">
        <v>2003</v>
      </c>
      <c r="E118" s="521">
        <f>'Table of Content 2'!E157</f>
        <v>2133.6799999999998</v>
      </c>
    </row>
    <row r="119" spans="1:5" ht="51">
      <c r="A119" s="502">
        <v>94</v>
      </c>
      <c r="B119" s="500" t="s">
        <v>1462</v>
      </c>
      <c r="C119" s="500" t="s">
        <v>1463</v>
      </c>
      <c r="D119" s="501" t="s">
        <v>2003</v>
      </c>
      <c r="E119" s="521" t="e">
        <f>'Table of Content 2'!#REF!</f>
        <v>#REF!</v>
      </c>
    </row>
    <row r="120" spans="1:5" ht="51">
      <c r="A120" s="502">
        <v>95</v>
      </c>
      <c r="B120" s="500" t="s">
        <v>1487</v>
      </c>
      <c r="C120" s="500" t="s">
        <v>1488</v>
      </c>
      <c r="D120" s="501" t="s">
        <v>2003</v>
      </c>
      <c r="E120" s="521">
        <f>'Table of Content 2'!E158</f>
        <v>1897.67</v>
      </c>
    </row>
    <row r="121" spans="1:5" ht="51">
      <c r="A121" s="502">
        <v>96</v>
      </c>
      <c r="B121" s="500" t="s">
        <v>1489</v>
      </c>
      <c r="C121" s="500" t="s">
        <v>1490</v>
      </c>
      <c r="D121" s="501" t="s">
        <v>2003</v>
      </c>
      <c r="E121" s="521">
        <f>'Table of Content 2'!E159</f>
        <v>1956.86</v>
      </c>
    </row>
    <row r="122" spans="1:5" ht="25.5">
      <c r="A122" s="502">
        <v>97</v>
      </c>
      <c r="B122" s="500" t="s">
        <v>1491</v>
      </c>
      <c r="C122" s="500" t="s">
        <v>466</v>
      </c>
      <c r="D122" s="501" t="s">
        <v>2003</v>
      </c>
      <c r="E122" s="521">
        <f>'Table of Content 2'!E160</f>
        <v>1539.23</v>
      </c>
    </row>
    <row r="123" spans="1:5" ht="25.5">
      <c r="A123" s="502">
        <v>98</v>
      </c>
      <c r="B123" s="500" t="s">
        <v>467</v>
      </c>
      <c r="C123" s="500" t="s">
        <v>468</v>
      </c>
      <c r="D123" s="501" t="s">
        <v>2003</v>
      </c>
      <c r="E123" s="521">
        <f>'Table of Content 2'!E161</f>
        <v>1414.16</v>
      </c>
    </row>
    <row r="124" spans="1:5" ht="25.5">
      <c r="A124" s="502">
        <v>99</v>
      </c>
      <c r="B124" s="500" t="s">
        <v>469</v>
      </c>
      <c r="C124" s="500" t="s">
        <v>470</v>
      </c>
      <c r="D124" s="501" t="s">
        <v>2003</v>
      </c>
      <c r="E124" s="521">
        <f>'Table of Content 2'!E162</f>
        <v>1288.18</v>
      </c>
    </row>
    <row r="125" spans="1:5" ht="25.5">
      <c r="A125" s="502">
        <v>100</v>
      </c>
      <c r="B125" s="500" t="s">
        <v>471</v>
      </c>
      <c r="C125" s="500" t="s">
        <v>472</v>
      </c>
      <c r="D125" s="501" t="s">
        <v>2003</v>
      </c>
      <c r="E125" s="521">
        <f>'Table of Content 2'!E163</f>
        <v>1420.91</v>
      </c>
    </row>
    <row r="126" spans="1:5" ht="38.25">
      <c r="A126" s="502">
        <f t="shared" ref="A126:A145" si="0">A125+1</f>
        <v>101</v>
      </c>
      <c r="B126" s="500" t="s">
        <v>473</v>
      </c>
      <c r="C126" s="500" t="s">
        <v>474</v>
      </c>
      <c r="D126" s="501" t="s">
        <v>2003</v>
      </c>
      <c r="E126" s="521" t="e">
        <f>'Table of Content 2'!#REF!</f>
        <v>#REF!</v>
      </c>
    </row>
    <row r="127" spans="1:5" ht="38.25">
      <c r="A127" s="502">
        <f t="shared" si="0"/>
        <v>102</v>
      </c>
      <c r="B127" s="500" t="s">
        <v>475</v>
      </c>
      <c r="C127" s="500" t="s">
        <v>476</v>
      </c>
      <c r="D127" s="501" t="s">
        <v>2003</v>
      </c>
      <c r="E127" s="521" t="e">
        <f>'Table of Content 2'!#REF!</f>
        <v>#REF!</v>
      </c>
    </row>
    <row r="128" spans="1:5" ht="38.25">
      <c r="A128" s="502">
        <f t="shared" si="0"/>
        <v>103</v>
      </c>
      <c r="B128" s="500" t="s">
        <v>477</v>
      </c>
      <c r="C128" s="500" t="s">
        <v>477</v>
      </c>
      <c r="D128" s="501" t="s">
        <v>2003</v>
      </c>
      <c r="E128" s="521">
        <f>'Table of Content 2'!E164</f>
        <v>817.95</v>
      </c>
    </row>
    <row r="129" spans="1:5" ht="38.25">
      <c r="A129" s="502">
        <f t="shared" si="0"/>
        <v>104</v>
      </c>
      <c r="B129" s="500" t="s">
        <v>478</v>
      </c>
      <c r="C129" s="500" t="s">
        <v>478</v>
      </c>
      <c r="D129" s="501" t="s">
        <v>2003</v>
      </c>
      <c r="E129" s="521">
        <f>'Table of Content 2'!E165</f>
        <v>1070.76</v>
      </c>
    </row>
    <row r="130" spans="1:5">
      <c r="A130" s="502">
        <f t="shared" si="0"/>
        <v>105</v>
      </c>
      <c r="B130" s="500" t="s">
        <v>479</v>
      </c>
      <c r="C130" s="500" t="s">
        <v>479</v>
      </c>
      <c r="D130" s="501" t="s">
        <v>2003</v>
      </c>
      <c r="E130" s="521">
        <f>'Table of Content 2'!E166</f>
        <v>1844.56</v>
      </c>
    </row>
    <row r="131" spans="1:5" ht="25.5">
      <c r="A131" s="502">
        <f t="shared" si="0"/>
        <v>106</v>
      </c>
      <c r="B131" s="500" t="s">
        <v>480</v>
      </c>
      <c r="C131" s="500" t="s">
        <v>480</v>
      </c>
      <c r="D131" s="501" t="s">
        <v>2003</v>
      </c>
      <c r="E131" s="521">
        <f>'Table of Content 2'!E167</f>
        <v>571.05999999999995</v>
      </c>
    </row>
    <row r="132" spans="1:5" ht="38.25">
      <c r="A132" s="502">
        <f t="shared" si="0"/>
        <v>107</v>
      </c>
      <c r="B132" s="500" t="s">
        <v>481</v>
      </c>
      <c r="C132" s="500" t="s">
        <v>481</v>
      </c>
      <c r="D132" s="501" t="s">
        <v>2009</v>
      </c>
      <c r="E132" s="521">
        <f>'Table of Content 2'!E168</f>
        <v>982.9</v>
      </c>
    </row>
    <row r="133" spans="1:5" ht="38.25">
      <c r="A133" s="502">
        <f t="shared" si="0"/>
        <v>108</v>
      </c>
      <c r="B133" s="500" t="s">
        <v>482</v>
      </c>
      <c r="C133" s="500" t="s">
        <v>1876</v>
      </c>
      <c r="D133" s="501" t="s">
        <v>2003</v>
      </c>
      <c r="E133" s="521">
        <f>'Table of Content 2'!E170</f>
        <v>991.86</v>
      </c>
    </row>
    <row r="134" spans="1:5">
      <c r="A134" s="502">
        <f t="shared" si="0"/>
        <v>109</v>
      </c>
      <c r="B134" s="500" t="s">
        <v>1877</v>
      </c>
      <c r="C134" s="500" t="s">
        <v>1877</v>
      </c>
      <c r="D134" s="501" t="s">
        <v>2003</v>
      </c>
      <c r="E134" s="521">
        <f>'Table of Content 2'!E171</f>
        <v>59.18</v>
      </c>
    </row>
    <row r="135" spans="1:5" ht="38.25">
      <c r="A135" s="502">
        <f t="shared" si="0"/>
        <v>110</v>
      </c>
      <c r="B135" s="500" t="s">
        <v>1878</v>
      </c>
      <c r="C135" s="500" t="s">
        <v>1879</v>
      </c>
      <c r="D135" s="501" t="s">
        <v>2009</v>
      </c>
      <c r="E135" s="521">
        <f>'Table of Content 2'!E172</f>
        <v>1821.78</v>
      </c>
    </row>
    <row r="136" spans="1:5">
      <c r="A136" s="502">
        <f t="shared" si="0"/>
        <v>111</v>
      </c>
      <c r="B136" s="500" t="s">
        <v>1880</v>
      </c>
      <c r="C136" s="500" t="s">
        <v>1880</v>
      </c>
      <c r="D136" s="501" t="s">
        <v>2009</v>
      </c>
      <c r="E136" s="521">
        <f>'Table of Content 2'!E173</f>
        <v>2167.1</v>
      </c>
    </row>
    <row r="137" spans="1:5" ht="51">
      <c r="A137" s="502">
        <f t="shared" si="0"/>
        <v>112</v>
      </c>
      <c r="B137" s="495" t="s">
        <v>928</v>
      </c>
      <c r="C137" s="495" t="s">
        <v>929</v>
      </c>
      <c r="D137" s="501" t="s">
        <v>2003</v>
      </c>
      <c r="E137" s="521">
        <f>'Table of Content 2'!E174</f>
        <v>190.37</v>
      </c>
    </row>
    <row r="138" spans="1:5" ht="38.25">
      <c r="A138" s="502">
        <f t="shared" si="0"/>
        <v>113</v>
      </c>
      <c r="B138" s="495" t="s">
        <v>2545</v>
      </c>
      <c r="C138" s="495" t="s">
        <v>2546</v>
      </c>
      <c r="D138" s="501" t="s">
        <v>2003</v>
      </c>
      <c r="E138" s="521" t="e">
        <f>'Table of Content 2'!#REF!</f>
        <v>#REF!</v>
      </c>
    </row>
    <row r="139" spans="1:5" ht="38.25">
      <c r="A139" s="502">
        <f t="shared" si="0"/>
        <v>114</v>
      </c>
      <c r="B139" s="500" t="s">
        <v>2547</v>
      </c>
      <c r="C139" s="500" t="s">
        <v>1997</v>
      </c>
      <c r="D139" s="501" t="s">
        <v>2003</v>
      </c>
      <c r="E139" s="521">
        <f>'Table of Content 2'!E175</f>
        <v>6255.65</v>
      </c>
    </row>
    <row r="140" spans="1:5">
      <c r="A140" s="550"/>
      <c r="B140" s="553"/>
      <c r="C140" s="553"/>
      <c r="D140" s="552"/>
      <c r="E140" s="561"/>
    </row>
    <row r="141" spans="1:5" ht="51">
      <c r="A141" s="502">
        <f>A139+1</f>
        <v>115</v>
      </c>
      <c r="B141" s="500" t="s">
        <v>2930</v>
      </c>
      <c r="C141" s="500" t="s">
        <v>2931</v>
      </c>
      <c r="D141" s="501" t="s">
        <v>2003</v>
      </c>
      <c r="E141" s="497">
        <f>'Table of Content 2'!E197</f>
        <v>303.3</v>
      </c>
    </row>
    <row r="142" spans="1:5" ht="51">
      <c r="A142" s="502">
        <f t="shared" si="0"/>
        <v>116</v>
      </c>
      <c r="B142" s="500" t="s">
        <v>2013</v>
      </c>
      <c r="C142" s="500" t="s">
        <v>2014</v>
      </c>
      <c r="D142" s="501" t="s">
        <v>2003</v>
      </c>
      <c r="E142" s="497">
        <f>'Table of Content 2'!E198</f>
        <v>292.52999999999997</v>
      </c>
    </row>
    <row r="143" spans="1:5" ht="51">
      <c r="A143" s="502">
        <f t="shared" si="0"/>
        <v>117</v>
      </c>
      <c r="B143" s="500" t="s">
        <v>2035</v>
      </c>
      <c r="C143" s="500" t="s">
        <v>2036</v>
      </c>
      <c r="D143" s="501" t="s">
        <v>2003</v>
      </c>
      <c r="E143" s="497">
        <f>'Table of Content 2'!E199</f>
        <v>257.16000000000003</v>
      </c>
    </row>
    <row r="144" spans="1:5" ht="51">
      <c r="A144" s="502">
        <f t="shared" si="0"/>
        <v>118</v>
      </c>
      <c r="B144" s="500" t="s">
        <v>2037</v>
      </c>
      <c r="C144" s="500" t="s">
        <v>395</v>
      </c>
      <c r="D144" s="501" t="s">
        <v>2003</v>
      </c>
      <c r="E144" s="497">
        <f>'Table of Content 2'!E200</f>
        <v>233.79</v>
      </c>
    </row>
    <row r="145" spans="1:5" ht="51">
      <c r="A145" s="502">
        <f t="shared" si="0"/>
        <v>119</v>
      </c>
      <c r="B145" s="500" t="s">
        <v>1893</v>
      </c>
      <c r="C145" s="500" t="s">
        <v>418</v>
      </c>
      <c r="D145" s="501" t="s">
        <v>2003</v>
      </c>
      <c r="E145" s="497">
        <f>'Table of Content 2'!E201</f>
        <v>291.87</v>
      </c>
    </row>
    <row r="146" spans="1:5" ht="51">
      <c r="A146" s="502">
        <v>120.1</v>
      </c>
      <c r="B146" s="500" t="s">
        <v>419</v>
      </c>
      <c r="C146" s="500" t="s">
        <v>420</v>
      </c>
      <c r="D146" s="501" t="s">
        <v>2003</v>
      </c>
      <c r="E146" s="497">
        <f>'Table of Content 2'!E202</f>
        <v>393.2</v>
      </c>
    </row>
    <row r="147" spans="1:5" ht="51">
      <c r="A147" s="502">
        <v>120</v>
      </c>
      <c r="B147" s="500" t="s">
        <v>421</v>
      </c>
      <c r="C147" s="500" t="s">
        <v>422</v>
      </c>
      <c r="D147" s="501" t="s">
        <v>2003</v>
      </c>
      <c r="E147" s="497">
        <f>'Table of Content 2'!E203</f>
        <v>360.44</v>
      </c>
    </row>
    <row r="148" spans="1:5" ht="51">
      <c r="A148" s="502">
        <f t="shared" ref="A148:A179" si="1">A147+1</f>
        <v>121</v>
      </c>
      <c r="B148" s="500" t="s">
        <v>1447</v>
      </c>
      <c r="C148" s="500" t="s">
        <v>341</v>
      </c>
      <c r="D148" s="501" t="s">
        <v>2003</v>
      </c>
      <c r="E148" s="497">
        <f>'Table of Content 2'!E204</f>
        <v>340.72</v>
      </c>
    </row>
    <row r="149" spans="1:5" ht="51">
      <c r="A149" s="502">
        <f t="shared" si="1"/>
        <v>122</v>
      </c>
      <c r="B149" s="500" t="s">
        <v>342</v>
      </c>
      <c r="C149" s="500" t="s">
        <v>343</v>
      </c>
      <c r="D149" s="501" t="s">
        <v>2003</v>
      </c>
      <c r="E149" s="497">
        <f>'Table of Content 2'!E205</f>
        <v>304.39</v>
      </c>
    </row>
    <row r="150" spans="1:5" ht="38.25">
      <c r="A150" s="502">
        <f t="shared" si="1"/>
        <v>123</v>
      </c>
      <c r="B150" s="500" t="s">
        <v>344</v>
      </c>
      <c r="C150" s="500" t="s">
        <v>345</v>
      </c>
      <c r="D150" s="501" t="s">
        <v>2003</v>
      </c>
      <c r="E150" s="497">
        <f>'Table of Content 2'!E208</f>
        <v>170.94</v>
      </c>
    </row>
    <row r="151" spans="1:5" ht="38.25">
      <c r="A151" s="502">
        <f t="shared" si="1"/>
        <v>124</v>
      </c>
      <c r="B151" s="500" t="s">
        <v>346</v>
      </c>
      <c r="C151" s="500" t="s">
        <v>347</v>
      </c>
      <c r="D151" s="501" t="s">
        <v>2003</v>
      </c>
      <c r="E151" s="497">
        <f>'Table of Content 2'!E207</f>
        <v>185.95</v>
      </c>
    </row>
    <row r="152" spans="1:5">
      <c r="A152" s="550"/>
      <c r="B152" s="553"/>
      <c r="C152" s="553"/>
      <c r="D152" s="552"/>
      <c r="E152" s="503"/>
    </row>
    <row r="153" spans="1:5" ht="38.25">
      <c r="A153" s="502">
        <f>A151+1</f>
        <v>125</v>
      </c>
      <c r="B153" s="500" t="s">
        <v>70</v>
      </c>
      <c r="C153" s="500" t="s">
        <v>71</v>
      </c>
      <c r="D153" s="501" t="s">
        <v>2003</v>
      </c>
      <c r="E153" s="521">
        <f>'Table of Content 2'!E222</f>
        <v>27.06</v>
      </c>
    </row>
    <row r="154" spans="1:5" ht="38.25">
      <c r="A154" s="502">
        <f t="shared" si="1"/>
        <v>126</v>
      </c>
      <c r="B154" s="500" t="s">
        <v>3181</v>
      </c>
      <c r="C154" s="500" t="s">
        <v>3182</v>
      </c>
      <c r="D154" s="501" t="s">
        <v>2003</v>
      </c>
      <c r="E154" s="521">
        <f>'Table of Content 2'!E223</f>
        <v>23.61</v>
      </c>
    </row>
    <row r="155" spans="1:5" ht="38.25">
      <c r="A155" s="502">
        <f t="shared" si="1"/>
        <v>127</v>
      </c>
      <c r="B155" s="500" t="s">
        <v>3183</v>
      </c>
      <c r="C155" s="500" t="s">
        <v>1883</v>
      </c>
      <c r="D155" s="501" t="s">
        <v>2003</v>
      </c>
      <c r="E155" s="521">
        <f>'Table of Content 2'!E224</f>
        <v>51.45</v>
      </c>
    </row>
    <row r="156" spans="1:5" ht="38.25">
      <c r="A156" s="502">
        <f t="shared" si="1"/>
        <v>128</v>
      </c>
      <c r="B156" s="500" t="s">
        <v>1884</v>
      </c>
      <c r="C156" s="500" t="s">
        <v>1885</v>
      </c>
      <c r="D156" s="501" t="s">
        <v>2003</v>
      </c>
      <c r="E156" s="521">
        <f>'Table of Content 2'!E225</f>
        <v>44.03</v>
      </c>
    </row>
    <row r="157" spans="1:5" ht="38.25">
      <c r="A157" s="502">
        <f t="shared" si="1"/>
        <v>129</v>
      </c>
      <c r="B157" s="500" t="s">
        <v>3661</v>
      </c>
      <c r="C157" s="500" t="s">
        <v>3662</v>
      </c>
      <c r="D157" s="501" t="s">
        <v>2003</v>
      </c>
      <c r="E157" s="521">
        <f>'Table of Content 2'!E226</f>
        <v>12.31</v>
      </c>
    </row>
    <row r="158" spans="1:5" ht="38.25">
      <c r="A158" s="502">
        <f t="shared" si="1"/>
        <v>130</v>
      </c>
      <c r="B158" s="500" t="s">
        <v>3663</v>
      </c>
      <c r="C158" s="500" t="s">
        <v>3664</v>
      </c>
      <c r="D158" s="501" t="s">
        <v>2003</v>
      </c>
      <c r="E158" s="521">
        <f>'Table of Content 2'!E227</f>
        <v>72.150000000000006</v>
      </c>
    </row>
    <row r="159" spans="1:5" ht="38.25">
      <c r="A159" s="502">
        <f t="shared" si="1"/>
        <v>131</v>
      </c>
      <c r="B159" s="500" t="s">
        <v>3675</v>
      </c>
      <c r="C159" s="500" t="s">
        <v>3676</v>
      </c>
      <c r="D159" s="501" t="s">
        <v>2003</v>
      </c>
      <c r="E159" s="521">
        <f>'Table of Content 2'!E228</f>
        <v>98.51</v>
      </c>
    </row>
    <row r="160" spans="1:5" ht="51">
      <c r="A160" s="502">
        <f t="shared" si="1"/>
        <v>132</v>
      </c>
      <c r="B160" s="495" t="s">
        <v>1473</v>
      </c>
      <c r="C160" s="495" t="s">
        <v>1474</v>
      </c>
      <c r="D160" s="501" t="s">
        <v>2003</v>
      </c>
      <c r="E160" s="521">
        <f>'Table of Content 2'!E229</f>
        <v>34.840000000000003</v>
      </c>
    </row>
    <row r="161" spans="1:5" ht="51">
      <c r="A161" s="502">
        <f t="shared" si="1"/>
        <v>133</v>
      </c>
      <c r="B161" s="495" t="s">
        <v>1475</v>
      </c>
      <c r="C161" s="495" t="s">
        <v>1476</v>
      </c>
      <c r="D161" s="501" t="s">
        <v>2003</v>
      </c>
      <c r="E161" s="521">
        <f>'Table of Content 2'!E230</f>
        <v>79.63</v>
      </c>
    </row>
    <row r="162" spans="1:5" ht="51">
      <c r="A162" s="502">
        <f t="shared" si="1"/>
        <v>134</v>
      </c>
      <c r="B162" s="495" t="s">
        <v>1477</v>
      </c>
      <c r="C162" s="495" t="s">
        <v>1478</v>
      </c>
      <c r="D162" s="501" t="s">
        <v>2003</v>
      </c>
      <c r="E162" s="521">
        <f>'Table of Content 2'!E231</f>
        <v>141.38</v>
      </c>
    </row>
    <row r="163" spans="1:5" ht="51">
      <c r="A163" s="502">
        <f t="shared" si="1"/>
        <v>135</v>
      </c>
      <c r="B163" s="495" t="s">
        <v>1479</v>
      </c>
      <c r="C163" s="495" t="s">
        <v>1480</v>
      </c>
      <c r="D163" s="501" t="s">
        <v>2003</v>
      </c>
      <c r="E163" s="521">
        <f>'Table of Content 2'!E232</f>
        <v>212.35</v>
      </c>
    </row>
    <row r="164" spans="1:5" ht="51">
      <c r="A164" s="502">
        <f t="shared" si="1"/>
        <v>136</v>
      </c>
      <c r="B164" s="495" t="s">
        <v>2853</v>
      </c>
      <c r="C164" s="495" t="s">
        <v>1522</v>
      </c>
      <c r="D164" s="501" t="s">
        <v>2003</v>
      </c>
      <c r="E164" s="521">
        <f>'Table of Content 2'!E233</f>
        <v>134.49</v>
      </c>
    </row>
    <row r="165" spans="1:5" ht="51">
      <c r="A165" s="502">
        <f t="shared" si="1"/>
        <v>137</v>
      </c>
      <c r="B165" s="495" t="s">
        <v>1523</v>
      </c>
      <c r="C165" s="495" t="s">
        <v>1524</v>
      </c>
      <c r="D165" s="501" t="s">
        <v>2003</v>
      </c>
      <c r="E165" s="521">
        <f>'Table of Content 2'!E234</f>
        <v>205.55</v>
      </c>
    </row>
    <row r="166" spans="1:5" ht="51">
      <c r="A166" s="502">
        <f t="shared" si="1"/>
        <v>138</v>
      </c>
      <c r="B166" s="495" t="s">
        <v>1525</v>
      </c>
      <c r="C166" s="495" t="s">
        <v>1525</v>
      </c>
      <c r="D166" s="501" t="s">
        <v>2003</v>
      </c>
      <c r="E166" s="521">
        <f>'Table of Content 2'!E235</f>
        <v>210.35</v>
      </c>
    </row>
    <row r="167" spans="1:5" ht="38.25">
      <c r="A167" s="502">
        <f t="shared" si="1"/>
        <v>139</v>
      </c>
      <c r="B167" s="495" t="s">
        <v>1526</v>
      </c>
      <c r="C167" s="495" t="s">
        <v>1526</v>
      </c>
      <c r="D167" s="501" t="s">
        <v>2003</v>
      </c>
      <c r="E167" s="521">
        <f>'Table of Content 2'!E236</f>
        <v>93.66</v>
      </c>
    </row>
    <row r="168" spans="1:5" ht="38.25">
      <c r="A168" s="502">
        <f t="shared" si="1"/>
        <v>140</v>
      </c>
      <c r="B168" s="495" t="s">
        <v>1527</v>
      </c>
      <c r="C168" s="495" t="s">
        <v>1527</v>
      </c>
      <c r="D168" s="501" t="s">
        <v>2003</v>
      </c>
      <c r="E168" s="521">
        <f>'Table of Content 2'!E237</f>
        <v>173.42000000000002</v>
      </c>
    </row>
    <row r="169" spans="1:5" ht="51">
      <c r="A169" s="502">
        <f t="shared" si="1"/>
        <v>141</v>
      </c>
      <c r="B169" s="495" t="s">
        <v>1528</v>
      </c>
      <c r="C169" s="495" t="s">
        <v>1529</v>
      </c>
      <c r="D169" s="501" t="s">
        <v>2003</v>
      </c>
      <c r="E169" s="521">
        <f>'Table of Content 2'!E238</f>
        <v>190.74</v>
      </c>
    </row>
    <row r="170" spans="1:5" ht="38.25">
      <c r="A170" s="502">
        <f t="shared" si="1"/>
        <v>142</v>
      </c>
      <c r="B170" s="495" t="s">
        <v>1530</v>
      </c>
      <c r="C170" s="495" t="s">
        <v>1531</v>
      </c>
      <c r="D170" s="501" t="s">
        <v>2003</v>
      </c>
      <c r="E170" s="521" t="e">
        <f>'Table of Content 2'!#REF!</f>
        <v>#REF!</v>
      </c>
    </row>
    <row r="171" spans="1:5" ht="25.5">
      <c r="A171" s="502">
        <f t="shared" si="1"/>
        <v>143</v>
      </c>
      <c r="B171" s="495" t="s">
        <v>1532</v>
      </c>
      <c r="C171" s="495" t="s">
        <v>1532</v>
      </c>
      <c r="D171" s="501" t="s">
        <v>2003</v>
      </c>
      <c r="E171" s="521">
        <f>'Table of Content 2'!E239</f>
        <v>32.08</v>
      </c>
    </row>
    <row r="172" spans="1:5" ht="25.5">
      <c r="A172" s="502">
        <f t="shared" si="1"/>
        <v>144</v>
      </c>
      <c r="B172" s="495" t="s">
        <v>1533</v>
      </c>
      <c r="C172" s="495" t="s">
        <v>1533</v>
      </c>
      <c r="D172" s="501" t="s">
        <v>2003</v>
      </c>
      <c r="E172" s="521">
        <f>'Table of Content 2'!E240</f>
        <v>62.27</v>
      </c>
    </row>
    <row r="173" spans="1:5" ht="25.5">
      <c r="A173" s="502">
        <f t="shared" si="1"/>
        <v>145</v>
      </c>
      <c r="B173" s="495" t="s">
        <v>1534</v>
      </c>
      <c r="C173" s="495" t="s">
        <v>1534</v>
      </c>
      <c r="D173" s="501" t="s">
        <v>2003</v>
      </c>
      <c r="E173" s="521">
        <f>'Table of Content 2'!E241</f>
        <v>52.26</v>
      </c>
    </row>
    <row r="174" spans="1:5" ht="25.5">
      <c r="A174" s="502">
        <f t="shared" si="1"/>
        <v>146</v>
      </c>
      <c r="B174" s="495" t="s">
        <v>1535</v>
      </c>
      <c r="C174" s="495" t="s">
        <v>1535</v>
      </c>
      <c r="D174" s="501" t="s">
        <v>2003</v>
      </c>
      <c r="E174" s="521">
        <f>'Table of Content 2'!E242</f>
        <v>100.28</v>
      </c>
    </row>
    <row r="175" spans="1:5" ht="25.5">
      <c r="A175" s="502">
        <f t="shared" si="1"/>
        <v>147</v>
      </c>
      <c r="B175" s="495" t="s">
        <v>366</v>
      </c>
      <c r="C175" s="495" t="s">
        <v>366</v>
      </c>
      <c r="D175" s="501" t="s">
        <v>2003</v>
      </c>
      <c r="E175" s="521">
        <f>'Table of Content 2'!E243</f>
        <v>32.68</v>
      </c>
    </row>
    <row r="176" spans="1:5" ht="25.5">
      <c r="A176" s="502">
        <f t="shared" si="1"/>
        <v>148</v>
      </c>
      <c r="B176" s="495" t="s">
        <v>367</v>
      </c>
      <c r="C176" s="495" t="s">
        <v>367</v>
      </c>
      <c r="D176" s="501" t="s">
        <v>2003</v>
      </c>
      <c r="E176" s="521">
        <f>'Table of Content 2'!E244</f>
        <v>56.83</v>
      </c>
    </row>
    <row r="177" spans="1:5" ht="51">
      <c r="A177" s="502">
        <f t="shared" si="1"/>
        <v>149</v>
      </c>
      <c r="B177" s="495" t="s">
        <v>368</v>
      </c>
      <c r="C177" s="495" t="s">
        <v>368</v>
      </c>
      <c r="D177" s="501" t="s">
        <v>2003</v>
      </c>
      <c r="E177" s="521">
        <f>'Table of Content 2'!E245</f>
        <v>111.03</v>
      </c>
    </row>
    <row r="178" spans="1:5" ht="25.5">
      <c r="A178" s="502">
        <f t="shared" si="1"/>
        <v>150</v>
      </c>
      <c r="B178" s="495" t="s">
        <v>369</v>
      </c>
      <c r="C178" s="495" t="s">
        <v>369</v>
      </c>
      <c r="D178" s="501" t="s">
        <v>2003</v>
      </c>
      <c r="E178" s="521">
        <f>'Table of Content 2'!E246</f>
        <v>93.49</v>
      </c>
    </row>
    <row r="179" spans="1:5" ht="51">
      <c r="A179" s="502">
        <f t="shared" si="1"/>
        <v>151</v>
      </c>
      <c r="B179" s="495" t="s">
        <v>370</v>
      </c>
      <c r="C179" s="495" t="s">
        <v>371</v>
      </c>
      <c r="D179" s="501" t="s">
        <v>2003</v>
      </c>
      <c r="E179" s="521">
        <f>'Table of Content 2'!E247</f>
        <v>158.93</v>
      </c>
    </row>
    <row r="180" spans="1:5">
      <c r="A180" s="550"/>
      <c r="B180" s="551"/>
      <c r="C180" s="551"/>
      <c r="D180" s="552"/>
      <c r="E180" s="561"/>
    </row>
    <row r="181" spans="1:5" ht="51">
      <c r="A181" s="502">
        <f>A179+1</f>
        <v>152</v>
      </c>
      <c r="B181" s="500" t="s">
        <v>372</v>
      </c>
      <c r="C181" s="500" t="s">
        <v>373</v>
      </c>
      <c r="D181" s="501" t="s">
        <v>2003</v>
      </c>
      <c r="E181" s="497">
        <f>'Table of Content 2'!E394</f>
        <v>170.94</v>
      </c>
    </row>
    <row r="182" spans="1:5" ht="51">
      <c r="A182" s="502">
        <f t="shared" ref="A182:A213" si="2">A181+1</f>
        <v>153</v>
      </c>
      <c r="B182" s="500" t="s">
        <v>374</v>
      </c>
      <c r="C182" s="500" t="s">
        <v>375</v>
      </c>
      <c r="D182" s="501" t="s">
        <v>2003</v>
      </c>
      <c r="E182" s="497" t="e">
        <f>'Table of Content 2'!E395</f>
        <v>#REF!</v>
      </c>
    </row>
    <row r="183" spans="1:5" ht="51">
      <c r="A183" s="502">
        <f t="shared" si="2"/>
        <v>154</v>
      </c>
      <c r="B183" s="500" t="s">
        <v>393</v>
      </c>
      <c r="C183" s="500" t="s">
        <v>394</v>
      </c>
      <c r="D183" s="501" t="s">
        <v>2003</v>
      </c>
      <c r="E183" s="497">
        <f>'Table of Content 2'!E396</f>
        <v>154.97</v>
      </c>
    </row>
    <row r="184" spans="1:5" ht="51">
      <c r="A184" s="502">
        <f t="shared" si="2"/>
        <v>155</v>
      </c>
      <c r="B184" s="500" t="s">
        <v>682</v>
      </c>
      <c r="C184" s="500" t="s">
        <v>683</v>
      </c>
      <c r="D184" s="501" t="s">
        <v>2003</v>
      </c>
      <c r="E184" s="497" t="e">
        <f>'Table of Content 2'!E397</f>
        <v>#REF!</v>
      </c>
    </row>
    <row r="185" spans="1:5" ht="51">
      <c r="A185" s="502">
        <f t="shared" si="2"/>
        <v>156</v>
      </c>
      <c r="B185" s="500" t="s">
        <v>684</v>
      </c>
      <c r="C185" s="500" t="s">
        <v>685</v>
      </c>
      <c r="D185" s="501" t="s">
        <v>2003</v>
      </c>
      <c r="E185" s="497" t="e">
        <f>'Table of Content 2'!E398</f>
        <v>#REF!</v>
      </c>
    </row>
    <row r="186" spans="1:5" ht="51">
      <c r="A186" s="502">
        <f t="shared" si="2"/>
        <v>157</v>
      </c>
      <c r="B186" s="500" t="s">
        <v>686</v>
      </c>
      <c r="C186" s="500" t="s">
        <v>687</v>
      </c>
      <c r="D186" s="501" t="s">
        <v>2003</v>
      </c>
      <c r="E186" s="497" t="e">
        <f>'Table of Content 2'!E399</f>
        <v>#REF!</v>
      </c>
    </row>
    <row r="187" spans="1:5" ht="51">
      <c r="A187" s="502">
        <f t="shared" si="2"/>
        <v>158</v>
      </c>
      <c r="B187" s="500" t="s">
        <v>688</v>
      </c>
      <c r="C187" s="500" t="s">
        <v>15</v>
      </c>
      <c r="D187" s="501" t="s">
        <v>2003</v>
      </c>
      <c r="E187" s="497">
        <f>'Table of Content 2'!E400</f>
        <v>228.89</v>
      </c>
    </row>
    <row r="188" spans="1:5" ht="51">
      <c r="A188" s="502">
        <f t="shared" si="2"/>
        <v>159</v>
      </c>
      <c r="B188" s="500" t="s">
        <v>16</v>
      </c>
      <c r="C188" s="500" t="s">
        <v>17</v>
      </c>
      <c r="D188" s="501" t="s">
        <v>2003</v>
      </c>
      <c r="E188" s="497">
        <f>'Table of Content 2'!E401</f>
        <v>198.25</v>
      </c>
    </row>
    <row r="189" spans="1:5" ht="51">
      <c r="A189" s="502">
        <f t="shared" si="2"/>
        <v>160</v>
      </c>
      <c r="B189" s="500" t="s">
        <v>18</v>
      </c>
      <c r="C189" s="500" t="s">
        <v>273</v>
      </c>
      <c r="D189" s="501" t="s">
        <v>2003</v>
      </c>
      <c r="E189" s="497" t="e">
        <f>'Table of Content 2'!E402</f>
        <v>#REF!</v>
      </c>
    </row>
    <row r="190" spans="1:5" ht="51">
      <c r="A190" s="502">
        <f t="shared" si="2"/>
        <v>161</v>
      </c>
      <c r="B190" s="500" t="s">
        <v>274</v>
      </c>
      <c r="C190" s="500" t="s">
        <v>275</v>
      </c>
      <c r="D190" s="501" t="s">
        <v>2003</v>
      </c>
      <c r="E190" s="497">
        <f>'Table of Content 2'!E403</f>
        <v>113.2</v>
      </c>
    </row>
    <row r="191" spans="1:5" ht="51">
      <c r="A191" s="502">
        <f t="shared" si="2"/>
        <v>162</v>
      </c>
      <c r="B191" s="500" t="s">
        <v>1006</v>
      </c>
      <c r="C191" s="500" t="s">
        <v>1007</v>
      </c>
      <c r="D191" s="501" t="s">
        <v>2003</v>
      </c>
      <c r="E191" s="497">
        <f>'Table of Content 2'!E404</f>
        <v>59.18</v>
      </c>
    </row>
    <row r="192" spans="1:5" ht="38.25">
      <c r="A192" s="502">
        <f t="shared" si="2"/>
        <v>163</v>
      </c>
      <c r="B192" s="500" t="s">
        <v>1008</v>
      </c>
      <c r="C192" s="500" t="s">
        <v>1009</v>
      </c>
      <c r="D192" s="501" t="s">
        <v>2003</v>
      </c>
      <c r="E192" s="497">
        <f>'Table of Content 2'!E405</f>
        <v>129.9</v>
      </c>
    </row>
    <row r="193" spans="1:5" ht="63.75">
      <c r="A193" s="502">
        <f t="shared" si="2"/>
        <v>164</v>
      </c>
      <c r="B193" s="495" t="s">
        <v>1010</v>
      </c>
      <c r="C193" s="495" t="s">
        <v>1011</v>
      </c>
      <c r="D193" s="501" t="s">
        <v>2003</v>
      </c>
      <c r="E193" s="497" t="e">
        <f>'Table of Content 2'!E406</f>
        <v>#REF!</v>
      </c>
    </row>
    <row r="194" spans="1:5" ht="51">
      <c r="A194" s="502">
        <f t="shared" si="2"/>
        <v>165</v>
      </c>
      <c r="B194" s="495" t="s">
        <v>1012</v>
      </c>
      <c r="C194" s="495" t="s">
        <v>1013</v>
      </c>
      <c r="D194" s="501" t="s">
        <v>2003</v>
      </c>
      <c r="E194" s="497" t="e">
        <f>'Table of Content 2'!E407</f>
        <v>#REF!</v>
      </c>
    </row>
    <row r="195" spans="1:5" ht="51">
      <c r="A195" s="502">
        <f t="shared" si="2"/>
        <v>166</v>
      </c>
      <c r="B195" s="495" t="s">
        <v>1014</v>
      </c>
      <c r="C195" s="495" t="s">
        <v>1015</v>
      </c>
      <c r="D195" s="501" t="s">
        <v>2003</v>
      </c>
      <c r="E195" s="497">
        <f>'Table of Content 2'!E408</f>
        <v>188.08</v>
      </c>
    </row>
    <row r="196" spans="1:5">
      <c r="A196" s="550"/>
      <c r="B196" s="551"/>
      <c r="C196" s="551"/>
      <c r="D196" s="552"/>
      <c r="E196" s="503"/>
    </row>
    <row r="197" spans="1:5" ht="63.75">
      <c r="A197" s="502">
        <f>A195+1</f>
        <v>167</v>
      </c>
      <c r="B197" s="495" t="s">
        <v>1016</v>
      </c>
      <c r="C197" s="495" t="s">
        <v>1017</v>
      </c>
      <c r="D197" s="501" t="s">
        <v>2003</v>
      </c>
      <c r="E197" s="497">
        <f>'Table of Content 2'!E412</f>
        <v>354.77</v>
      </c>
    </row>
    <row r="198" spans="1:5" ht="63.75">
      <c r="A198" s="502">
        <f t="shared" si="2"/>
        <v>168</v>
      </c>
      <c r="B198" s="495" t="s">
        <v>1018</v>
      </c>
      <c r="C198" s="495" t="s">
        <v>1019</v>
      </c>
      <c r="D198" s="501" t="s">
        <v>2003</v>
      </c>
      <c r="E198" s="497">
        <f>'Table of Content 2'!E413</f>
        <v>385.3</v>
      </c>
    </row>
    <row r="199" spans="1:5" ht="63.75">
      <c r="A199" s="502">
        <f t="shared" si="2"/>
        <v>169</v>
      </c>
      <c r="B199" s="495" t="s">
        <v>1020</v>
      </c>
      <c r="C199" s="495" t="s">
        <v>1021</v>
      </c>
      <c r="D199" s="501" t="s">
        <v>2003</v>
      </c>
      <c r="E199" s="497">
        <f>'Table of Content 2'!E414</f>
        <v>464.2</v>
      </c>
    </row>
    <row r="200" spans="1:5" ht="38.25">
      <c r="A200" s="502">
        <f t="shared" si="2"/>
        <v>170</v>
      </c>
      <c r="B200" s="495" t="s">
        <v>1022</v>
      </c>
      <c r="C200" s="495" t="s">
        <v>1022</v>
      </c>
      <c r="D200" s="501" t="s">
        <v>2003</v>
      </c>
      <c r="E200" s="497">
        <f>'Table of Content 2'!E415</f>
        <v>350.54</v>
      </c>
    </row>
    <row r="201" spans="1:5" ht="25.5">
      <c r="A201" s="502">
        <f t="shared" si="2"/>
        <v>171</v>
      </c>
      <c r="B201" s="495" t="s">
        <v>1023</v>
      </c>
      <c r="C201" s="495" t="s">
        <v>1023</v>
      </c>
      <c r="D201" s="501" t="s">
        <v>2003</v>
      </c>
      <c r="E201" s="497">
        <f>'Table of Content 2'!E416</f>
        <v>100.05</v>
      </c>
    </row>
    <row r="202" spans="1:5" ht="38.25">
      <c r="A202" s="502">
        <f t="shared" si="2"/>
        <v>172</v>
      </c>
      <c r="B202" s="495" t="s">
        <v>2457</v>
      </c>
      <c r="C202" s="495" t="s">
        <v>2457</v>
      </c>
      <c r="D202" s="501" t="s">
        <v>2003</v>
      </c>
      <c r="E202" s="497">
        <f>'Table of Content 2'!E417</f>
        <v>673.26</v>
      </c>
    </row>
    <row r="203" spans="1:5" ht="38.25">
      <c r="A203" s="502">
        <f t="shared" si="2"/>
        <v>173</v>
      </c>
      <c r="B203" s="495" t="s">
        <v>2458</v>
      </c>
      <c r="C203" s="495" t="s">
        <v>2458</v>
      </c>
      <c r="D203" s="501" t="s">
        <v>2003</v>
      </c>
      <c r="E203" s="497">
        <f>'Table of Content 2'!E418</f>
        <v>1078.3499999999999</v>
      </c>
    </row>
    <row r="204" spans="1:5" ht="38.25">
      <c r="A204" s="502">
        <f t="shared" si="2"/>
        <v>174</v>
      </c>
      <c r="B204" s="495" t="s">
        <v>744</v>
      </c>
      <c r="C204" s="495" t="s">
        <v>744</v>
      </c>
      <c r="D204" s="501" t="s">
        <v>2003</v>
      </c>
      <c r="E204" s="497">
        <f>'Table of Content 2'!E419</f>
        <v>816.86</v>
      </c>
    </row>
    <row r="205" spans="1:5">
      <c r="A205" s="550"/>
      <c r="B205" s="551"/>
      <c r="C205" s="551"/>
      <c r="D205" s="552"/>
      <c r="E205" s="503"/>
    </row>
    <row r="206" spans="1:5" ht="25.5">
      <c r="A206" s="502">
        <f>A204+1</f>
        <v>175</v>
      </c>
      <c r="B206" s="495" t="s">
        <v>745</v>
      </c>
      <c r="C206" s="495" t="s">
        <v>745</v>
      </c>
      <c r="D206" s="501" t="s">
        <v>2009</v>
      </c>
      <c r="E206" s="497">
        <f>'Table of Content 2'!E423</f>
        <v>12064.63</v>
      </c>
    </row>
    <row r="207" spans="1:5" ht="25.5">
      <c r="A207" s="502">
        <f t="shared" si="2"/>
        <v>176</v>
      </c>
      <c r="B207" s="495" t="s">
        <v>874</v>
      </c>
      <c r="C207" s="495" t="s">
        <v>874</v>
      </c>
      <c r="D207" s="501" t="s">
        <v>2003</v>
      </c>
      <c r="E207" s="497">
        <f>'Table of Content 2'!E424</f>
        <v>144.03</v>
      </c>
    </row>
    <row r="208" spans="1:5" ht="38.25">
      <c r="A208" s="502">
        <f t="shared" si="2"/>
        <v>177</v>
      </c>
      <c r="B208" s="500" t="s">
        <v>875</v>
      </c>
      <c r="C208" s="500" t="s">
        <v>875</v>
      </c>
      <c r="D208" s="501" t="s">
        <v>2003</v>
      </c>
      <c r="E208" s="497">
        <f>'Table of Content 2'!E425</f>
        <v>46.57</v>
      </c>
    </row>
    <row r="209" spans="1:5" ht="25.5">
      <c r="A209" s="502">
        <f t="shared" si="2"/>
        <v>178</v>
      </c>
      <c r="B209" s="500" t="s">
        <v>876</v>
      </c>
      <c r="C209" s="500" t="s">
        <v>877</v>
      </c>
      <c r="D209" s="501" t="s">
        <v>2003</v>
      </c>
      <c r="E209" s="497">
        <f>'Table of Content 2'!E426</f>
        <v>67.52</v>
      </c>
    </row>
    <row r="210" spans="1:5" ht="38.25">
      <c r="A210" s="502">
        <f t="shared" si="2"/>
        <v>179</v>
      </c>
      <c r="B210" s="500" t="s">
        <v>878</v>
      </c>
      <c r="C210" s="500" t="s">
        <v>879</v>
      </c>
      <c r="D210" s="501" t="s">
        <v>2009</v>
      </c>
      <c r="E210" s="497">
        <f>'Table of Content 2'!E427</f>
        <v>457.12</v>
      </c>
    </row>
    <row r="211" spans="1:5" ht="38.25">
      <c r="A211" s="502">
        <f t="shared" si="2"/>
        <v>180</v>
      </c>
      <c r="B211" s="500" t="s">
        <v>880</v>
      </c>
      <c r="C211" s="500" t="s">
        <v>881</v>
      </c>
      <c r="D211" s="501" t="s">
        <v>2009</v>
      </c>
      <c r="E211" s="497">
        <f>'Table of Content 2'!E428</f>
        <v>914.25</v>
      </c>
    </row>
    <row r="212" spans="1:5" ht="25.5">
      <c r="A212" s="502">
        <f t="shared" si="2"/>
        <v>181</v>
      </c>
      <c r="B212" s="500" t="s">
        <v>882</v>
      </c>
      <c r="C212" s="500" t="s">
        <v>883</v>
      </c>
      <c r="D212" s="501" t="s">
        <v>2009</v>
      </c>
      <c r="E212" s="497">
        <f>'Table of Content 2'!E429</f>
        <v>4743.75</v>
      </c>
    </row>
    <row r="213" spans="1:5" ht="25.5">
      <c r="A213" s="502">
        <f t="shared" si="2"/>
        <v>182</v>
      </c>
      <c r="B213" s="500" t="s">
        <v>910</v>
      </c>
      <c r="C213" s="500" t="s">
        <v>910</v>
      </c>
      <c r="D213" s="501" t="s">
        <v>2009</v>
      </c>
      <c r="E213" s="497">
        <f>'Table of Content 2'!E430</f>
        <v>1725</v>
      </c>
    </row>
    <row r="214" spans="1:5">
      <c r="A214" s="550"/>
      <c r="B214" s="553"/>
      <c r="C214" s="553"/>
      <c r="D214" s="552"/>
      <c r="E214" s="503"/>
    </row>
    <row r="215" spans="1:5" ht="25.5">
      <c r="A215" s="510">
        <v>183</v>
      </c>
      <c r="B215" s="507" t="s">
        <v>1564</v>
      </c>
      <c r="C215" s="507" t="s">
        <v>1564</v>
      </c>
      <c r="D215" s="508" t="s">
        <v>1565</v>
      </c>
      <c r="E215" s="554">
        <f>'Table of Content 2'!E434</f>
        <v>132.82</v>
      </c>
    </row>
    <row r="216" spans="1:5" ht="25.5">
      <c r="A216" s="502">
        <f>A215+1</f>
        <v>184</v>
      </c>
      <c r="B216" s="500" t="s">
        <v>911</v>
      </c>
      <c r="C216" s="500" t="s">
        <v>912</v>
      </c>
      <c r="D216" s="501" t="s">
        <v>2003</v>
      </c>
      <c r="E216" s="554">
        <f>'Table of Content 2'!E435</f>
        <v>2143.79</v>
      </c>
    </row>
    <row r="217" spans="1:5" ht="38.25">
      <c r="A217" s="502">
        <f t="shared" ref="A217:A222" si="3">A216+1</f>
        <v>185</v>
      </c>
      <c r="B217" s="500" t="s">
        <v>3667</v>
      </c>
      <c r="C217" s="500" t="s">
        <v>3668</v>
      </c>
      <c r="D217" s="501" t="s">
        <v>2003</v>
      </c>
      <c r="E217" s="554">
        <f>'Table of Content 2'!E436</f>
        <v>2855.73</v>
      </c>
    </row>
    <row r="218" spans="1:5" ht="38.25">
      <c r="A218" s="502">
        <f t="shared" si="3"/>
        <v>186</v>
      </c>
      <c r="B218" s="500" t="s">
        <v>3669</v>
      </c>
      <c r="C218" s="500" t="s">
        <v>3670</v>
      </c>
      <c r="D218" s="501" t="s">
        <v>2003</v>
      </c>
      <c r="E218" s="554">
        <f>'Table of Content 2'!E437</f>
        <v>5036.21</v>
      </c>
    </row>
    <row r="219" spans="1:5" ht="38.25">
      <c r="A219" s="502">
        <f t="shared" si="3"/>
        <v>187</v>
      </c>
      <c r="B219" s="500" t="s">
        <v>93</v>
      </c>
      <c r="C219" s="500" t="s">
        <v>94</v>
      </c>
      <c r="D219" s="501" t="s">
        <v>2003</v>
      </c>
      <c r="E219" s="554">
        <f>'Table of Content 2'!E438</f>
        <v>3538.96</v>
      </c>
    </row>
    <row r="220" spans="1:5" ht="51">
      <c r="A220" s="502">
        <f t="shared" si="3"/>
        <v>188</v>
      </c>
      <c r="B220" s="500" t="s">
        <v>1313</v>
      </c>
      <c r="C220" s="500" t="s">
        <v>1314</v>
      </c>
      <c r="D220" s="508" t="s">
        <v>1565</v>
      </c>
      <c r="E220" s="554">
        <f>'Table of Content 2'!E439</f>
        <v>6805.7</v>
      </c>
    </row>
    <row r="221" spans="1:5">
      <c r="A221" s="502">
        <f t="shared" si="3"/>
        <v>189</v>
      </c>
      <c r="B221" s="500" t="s">
        <v>792</v>
      </c>
      <c r="C221" s="500" t="s">
        <v>792</v>
      </c>
      <c r="D221" s="501" t="s">
        <v>3459</v>
      </c>
      <c r="E221" s="554">
        <f>'Table of Content 2'!E440</f>
        <v>48.57</v>
      </c>
    </row>
    <row r="222" spans="1:5" ht="25.5">
      <c r="A222" s="502">
        <f t="shared" si="3"/>
        <v>190</v>
      </c>
      <c r="B222" s="500" t="s">
        <v>793</v>
      </c>
      <c r="C222" s="500" t="s">
        <v>793</v>
      </c>
      <c r="D222" s="501" t="s">
        <v>3459</v>
      </c>
      <c r="E222" s="554">
        <f>'Table of Content 2'!E441</f>
        <v>1295.17</v>
      </c>
    </row>
    <row r="223" spans="1:5">
      <c r="A223" s="550"/>
      <c r="B223" s="553"/>
      <c r="C223" s="553"/>
      <c r="D223" s="552"/>
      <c r="E223" s="497">
        <f>'Table of Content 2'!E440</f>
        <v>48.57</v>
      </c>
    </row>
    <row r="224" spans="1:5" ht="25.5">
      <c r="A224" s="502">
        <f>A222+1</f>
        <v>191</v>
      </c>
      <c r="B224" s="556" t="s">
        <v>2657</v>
      </c>
      <c r="C224" s="466" t="s">
        <v>2657</v>
      </c>
      <c r="D224" s="501" t="s">
        <v>2003</v>
      </c>
      <c r="E224" s="497" t="e">
        <f>'Table of Content 2'!E446</f>
        <v>#REF!</v>
      </c>
    </row>
    <row r="225" spans="1:5" ht="38.25">
      <c r="A225" s="502">
        <f>A224+1</f>
        <v>192</v>
      </c>
      <c r="B225" s="557" t="s">
        <v>2656</v>
      </c>
      <c r="C225" s="466" t="s">
        <v>2656</v>
      </c>
      <c r="D225" s="501" t="s">
        <v>2003</v>
      </c>
      <c r="E225" s="497">
        <f>'Table of Content 2'!E447</f>
        <v>5852.9000000000005</v>
      </c>
    </row>
    <row r="226" spans="1:5" ht="25.5">
      <c r="A226" s="502">
        <f t="shared" ref="A226:A289" si="4">A225+1</f>
        <v>193</v>
      </c>
      <c r="B226" s="557" t="s">
        <v>2655</v>
      </c>
      <c r="C226" s="466" t="s">
        <v>2655</v>
      </c>
      <c r="D226" s="501" t="s">
        <v>2003</v>
      </c>
      <c r="E226" s="497">
        <f>'Table of Content 2'!E448</f>
        <v>5444.56</v>
      </c>
    </row>
    <row r="227" spans="1:5" ht="25.5">
      <c r="A227" s="502">
        <f t="shared" si="4"/>
        <v>194</v>
      </c>
      <c r="B227" s="557" t="s">
        <v>2654</v>
      </c>
      <c r="C227" s="466" t="s">
        <v>2739</v>
      </c>
      <c r="D227" s="501" t="s">
        <v>2003</v>
      </c>
      <c r="E227" s="497">
        <f>'Table of Content 2'!E449</f>
        <v>5852.9000000000005</v>
      </c>
    </row>
    <row r="228" spans="1:5" ht="25.5">
      <c r="A228" s="502">
        <f t="shared" si="4"/>
        <v>195</v>
      </c>
      <c r="B228" s="557" t="s">
        <v>2653</v>
      </c>
      <c r="C228" s="466" t="s">
        <v>2653</v>
      </c>
      <c r="D228" s="501" t="s">
        <v>2003</v>
      </c>
      <c r="E228" s="497">
        <f>'Table of Content 2'!E450</f>
        <v>5716.78</v>
      </c>
    </row>
    <row r="229" spans="1:5">
      <c r="A229" s="502">
        <f t="shared" si="4"/>
        <v>196</v>
      </c>
      <c r="B229" s="557" t="s">
        <v>2652</v>
      </c>
      <c r="C229" s="466" t="s">
        <v>2652</v>
      </c>
      <c r="D229" s="501" t="s">
        <v>2003</v>
      </c>
      <c r="E229" s="497">
        <f>'Table of Content 2'!E451</f>
        <v>6125.13</v>
      </c>
    </row>
    <row r="230" spans="1:5" ht="25.5">
      <c r="A230" s="502">
        <f t="shared" si="4"/>
        <v>197</v>
      </c>
      <c r="B230" s="557" t="s">
        <v>2651</v>
      </c>
      <c r="C230" s="466" t="s">
        <v>2651</v>
      </c>
      <c r="D230" s="501" t="s">
        <v>2003</v>
      </c>
      <c r="E230" s="497">
        <f>'Table of Content 2'!E452</f>
        <v>6397.35</v>
      </c>
    </row>
    <row r="231" spans="1:5" ht="38.25">
      <c r="A231" s="502">
        <f t="shared" si="4"/>
        <v>198</v>
      </c>
      <c r="B231" s="557" t="s">
        <v>2650</v>
      </c>
      <c r="C231" s="466" t="s">
        <v>2650</v>
      </c>
      <c r="D231" s="501" t="s">
        <v>2003</v>
      </c>
      <c r="E231" s="497">
        <f>'Table of Content 2'!E453</f>
        <v>5444.56</v>
      </c>
    </row>
    <row r="232" spans="1:5" ht="38.25">
      <c r="A232" s="502">
        <f t="shared" si="4"/>
        <v>199</v>
      </c>
      <c r="B232" s="557" t="s">
        <v>2649</v>
      </c>
      <c r="C232" s="466" t="s">
        <v>3180</v>
      </c>
      <c r="D232" s="501"/>
      <c r="E232" s="497">
        <f>'Table of Content 2'!E454</f>
        <v>6669.58</v>
      </c>
    </row>
    <row r="233" spans="1:5" ht="76.5">
      <c r="A233" s="502">
        <f t="shared" si="4"/>
        <v>200</v>
      </c>
      <c r="B233" s="500" t="s">
        <v>794</v>
      </c>
      <c r="C233" s="555" t="s">
        <v>795</v>
      </c>
      <c r="D233" s="501" t="s">
        <v>3330</v>
      </c>
      <c r="E233" s="497">
        <f>'Table of Content 2'!E455</f>
        <v>262.89</v>
      </c>
    </row>
    <row r="234" spans="1:5" ht="76.5">
      <c r="A234" s="502">
        <f t="shared" si="4"/>
        <v>201</v>
      </c>
      <c r="B234" s="500" t="s">
        <v>1004</v>
      </c>
      <c r="C234" s="555" t="s">
        <v>1005</v>
      </c>
      <c r="D234" s="501" t="s">
        <v>3330</v>
      </c>
      <c r="E234" s="497">
        <f>'Table of Content 2'!E456</f>
        <v>128.58000000000001</v>
      </c>
    </row>
    <row r="235" spans="1:5" ht="38.25">
      <c r="A235" s="502">
        <f t="shared" si="4"/>
        <v>202</v>
      </c>
      <c r="B235" s="500" t="s">
        <v>24</v>
      </c>
      <c r="C235" s="555" t="s">
        <v>24</v>
      </c>
      <c r="D235" s="501" t="s">
        <v>3459</v>
      </c>
      <c r="E235" s="497">
        <f>'Table of Content 2'!E457</f>
        <v>1886</v>
      </c>
    </row>
    <row r="236" spans="1:5" ht="63.75">
      <c r="A236" s="502">
        <f t="shared" si="4"/>
        <v>203</v>
      </c>
      <c r="B236" s="500" t="s">
        <v>25</v>
      </c>
      <c r="C236" s="555" t="s">
        <v>26</v>
      </c>
      <c r="D236" s="501" t="s">
        <v>2003</v>
      </c>
      <c r="E236" s="497">
        <f>'Table of Content 2'!E458</f>
        <v>1546.75</v>
      </c>
    </row>
    <row r="237" spans="1:5" ht="63.75">
      <c r="A237" s="502">
        <f t="shared" si="4"/>
        <v>204</v>
      </c>
      <c r="B237" s="500" t="s">
        <v>27</v>
      </c>
      <c r="C237" s="555" t="s">
        <v>28</v>
      </c>
      <c r="D237" s="501" t="s">
        <v>2003</v>
      </c>
      <c r="E237" s="497">
        <f>'Table of Content 2'!E459</f>
        <v>920</v>
      </c>
    </row>
    <row r="238" spans="1:5" ht="38.25">
      <c r="A238" s="502">
        <f t="shared" si="4"/>
        <v>205</v>
      </c>
      <c r="B238" s="495" t="s">
        <v>29</v>
      </c>
      <c r="C238" s="495" t="s">
        <v>29</v>
      </c>
      <c r="D238" s="501" t="s">
        <v>2003</v>
      </c>
      <c r="E238" s="497">
        <f>'Table of Content 2'!E460</f>
        <v>36.659999999999997</v>
      </c>
    </row>
    <row r="239" spans="1:5" ht="38.25">
      <c r="A239" s="502">
        <f t="shared" si="4"/>
        <v>206</v>
      </c>
      <c r="B239" s="495" t="s">
        <v>30</v>
      </c>
      <c r="C239" s="495" t="s">
        <v>31</v>
      </c>
      <c r="D239" s="501" t="s">
        <v>2003</v>
      </c>
      <c r="E239" s="497">
        <f>'Table of Content 2'!E461</f>
        <v>38.61</v>
      </c>
    </row>
    <row r="240" spans="1:5" ht="38.25">
      <c r="A240" s="502">
        <f t="shared" si="4"/>
        <v>207</v>
      </c>
      <c r="B240" s="495" t="s">
        <v>32</v>
      </c>
      <c r="C240" s="495" t="s">
        <v>33</v>
      </c>
      <c r="D240" s="501" t="s">
        <v>2003</v>
      </c>
      <c r="E240" s="497">
        <f>'Table of Content 2'!E462</f>
        <v>82.38</v>
      </c>
    </row>
    <row r="241" spans="1:5" ht="38.25">
      <c r="A241" s="502">
        <f t="shared" si="4"/>
        <v>208</v>
      </c>
      <c r="B241" s="495" t="s">
        <v>34</v>
      </c>
      <c r="C241" s="495" t="s">
        <v>35</v>
      </c>
      <c r="D241" s="501" t="s">
        <v>2003</v>
      </c>
      <c r="E241" s="497">
        <f>'Table of Content 2'!E463</f>
        <v>153.36000000000001</v>
      </c>
    </row>
    <row r="242" spans="1:5" ht="38.25">
      <c r="A242" s="502">
        <f t="shared" si="4"/>
        <v>209</v>
      </c>
      <c r="B242" s="495" t="s">
        <v>36</v>
      </c>
      <c r="C242" s="495" t="s">
        <v>37</v>
      </c>
      <c r="D242" s="501" t="s">
        <v>2003</v>
      </c>
      <c r="E242" s="497">
        <f>'Table of Content 2'!E464</f>
        <v>82.48</v>
      </c>
    </row>
    <row r="243" spans="1:5" ht="38.25">
      <c r="A243" s="502">
        <f t="shared" si="4"/>
        <v>210</v>
      </c>
      <c r="B243" s="495" t="s">
        <v>38</v>
      </c>
      <c r="C243" s="495" t="s">
        <v>39</v>
      </c>
      <c r="D243" s="501" t="s">
        <v>2003</v>
      </c>
      <c r="E243" s="497">
        <f>'Table of Content 2'!E465</f>
        <v>153.54</v>
      </c>
    </row>
    <row r="244" spans="1:5" ht="25.5">
      <c r="A244" s="502">
        <f t="shared" si="4"/>
        <v>211</v>
      </c>
      <c r="B244" s="495" t="s">
        <v>40</v>
      </c>
      <c r="C244" s="495" t="s">
        <v>40</v>
      </c>
      <c r="D244" s="501" t="s">
        <v>2003</v>
      </c>
      <c r="E244" s="497">
        <f>'Table of Content 2'!E466</f>
        <v>64.62</v>
      </c>
    </row>
    <row r="245" spans="1:5" ht="25.5">
      <c r="A245" s="502">
        <f t="shared" si="4"/>
        <v>212</v>
      </c>
      <c r="B245" s="495" t="s">
        <v>2349</v>
      </c>
      <c r="C245" s="495" t="s">
        <v>2349</v>
      </c>
      <c r="D245" s="501" t="s">
        <v>2003</v>
      </c>
      <c r="E245" s="497">
        <f>'Table of Content 2'!E467</f>
        <v>131.74</v>
      </c>
    </row>
    <row r="246" spans="1:5" ht="25.5">
      <c r="A246" s="502">
        <f t="shared" si="4"/>
        <v>213</v>
      </c>
      <c r="B246" s="495" t="s">
        <v>2350</v>
      </c>
      <c r="C246" s="495" t="s">
        <v>2351</v>
      </c>
      <c r="D246" s="501" t="s">
        <v>2003</v>
      </c>
      <c r="E246" s="497">
        <f>'Table of Content 2'!E468</f>
        <v>63.6</v>
      </c>
    </row>
    <row r="247" spans="1:5" ht="25.5">
      <c r="A247" s="502">
        <f t="shared" si="4"/>
        <v>214</v>
      </c>
      <c r="B247" s="495" t="s">
        <v>2352</v>
      </c>
      <c r="C247" s="495" t="s">
        <v>2352</v>
      </c>
      <c r="D247" s="501" t="s">
        <v>2003</v>
      </c>
      <c r="E247" s="497">
        <f>'Table of Content 2'!E469</f>
        <v>124.79</v>
      </c>
    </row>
    <row r="248" spans="1:5" ht="76.5">
      <c r="A248" s="502">
        <f t="shared" si="4"/>
        <v>215</v>
      </c>
      <c r="B248" s="500" t="s">
        <v>3653</v>
      </c>
      <c r="C248" s="500" t="s">
        <v>3654</v>
      </c>
      <c r="D248" s="501" t="s">
        <v>2003</v>
      </c>
      <c r="E248" s="497">
        <f>'Table of Content 2'!E470</f>
        <v>2468.79</v>
      </c>
    </row>
    <row r="249" spans="1:5" ht="76.5">
      <c r="A249" s="502">
        <f t="shared" si="4"/>
        <v>216</v>
      </c>
      <c r="B249" s="500" t="s">
        <v>270</v>
      </c>
      <c r="C249" s="500" t="s">
        <v>270</v>
      </c>
      <c r="D249" s="501" t="s">
        <v>2003</v>
      </c>
      <c r="E249" s="497">
        <f>'Table of Content 2'!E471</f>
        <v>2623.8949500000003</v>
      </c>
    </row>
    <row r="250" spans="1:5" ht="38.25">
      <c r="A250" s="502">
        <f t="shared" si="4"/>
        <v>217</v>
      </c>
      <c r="B250" s="500" t="s">
        <v>271</v>
      </c>
      <c r="C250" s="500" t="s">
        <v>272</v>
      </c>
      <c r="D250" s="501" t="s">
        <v>3330</v>
      </c>
      <c r="E250" s="497">
        <f>'Table of Content 2'!E472</f>
        <v>134.91</v>
      </c>
    </row>
    <row r="251" spans="1:5" ht="63.75">
      <c r="A251" s="502">
        <f t="shared" si="4"/>
        <v>218</v>
      </c>
      <c r="B251" s="500" t="s">
        <v>865</v>
      </c>
      <c r="C251" s="500" t="s">
        <v>866</v>
      </c>
      <c r="D251" s="501" t="s">
        <v>2003</v>
      </c>
      <c r="E251" s="497">
        <f>'Table of Content 2'!E473</f>
        <v>1948.8240000000001</v>
      </c>
    </row>
    <row r="252" spans="1:5" ht="76.5">
      <c r="A252" s="502">
        <f>A251+1</f>
        <v>219</v>
      </c>
      <c r="B252" s="500" t="s">
        <v>1841</v>
      </c>
      <c r="C252" s="500" t="s">
        <v>1577</v>
      </c>
      <c r="D252" s="501" t="s">
        <v>2003</v>
      </c>
      <c r="E252" s="497">
        <f>'Table of Content 2'!E474</f>
        <v>1158.05</v>
      </c>
    </row>
    <row r="253" spans="1:5" ht="63.75">
      <c r="A253" s="502">
        <f>A251+1</f>
        <v>219</v>
      </c>
      <c r="B253" s="500" t="s">
        <v>971</v>
      </c>
      <c r="C253" s="500" t="s">
        <v>972</v>
      </c>
      <c r="D253" s="501" t="s">
        <v>973</v>
      </c>
      <c r="E253" s="497" t="e">
        <f>'Table of Content 2'!E475</f>
        <v>#REF!</v>
      </c>
    </row>
    <row r="254" spans="1:5" ht="63.75">
      <c r="A254" s="502">
        <f t="shared" si="4"/>
        <v>220</v>
      </c>
      <c r="B254" s="500" t="s">
        <v>971</v>
      </c>
      <c r="C254" s="500" t="s">
        <v>972</v>
      </c>
      <c r="D254" s="501" t="s">
        <v>2003</v>
      </c>
      <c r="E254" s="497" t="e">
        <f>'Table of Content 2'!E476</f>
        <v>#REF!</v>
      </c>
    </row>
    <row r="255" spans="1:5" ht="25.5">
      <c r="A255" s="502">
        <f t="shared" si="4"/>
        <v>221</v>
      </c>
      <c r="B255" s="500" t="s">
        <v>974</v>
      </c>
      <c r="C255" s="500" t="s">
        <v>974</v>
      </c>
      <c r="D255" s="501" t="s">
        <v>2003</v>
      </c>
      <c r="E255" s="497">
        <f>'Table of Content 2'!E477</f>
        <v>154.69</v>
      </c>
    </row>
    <row r="256" spans="1:5">
      <c r="A256" s="502">
        <f t="shared" si="4"/>
        <v>222</v>
      </c>
      <c r="B256" s="500" t="s">
        <v>975</v>
      </c>
      <c r="C256" s="500" t="s">
        <v>975</v>
      </c>
      <c r="D256" s="501" t="s">
        <v>2003</v>
      </c>
      <c r="E256" s="497">
        <f>'Table of Content 2'!E478</f>
        <v>41.47</v>
      </c>
    </row>
    <row r="257" spans="1:5" ht="25.5">
      <c r="A257" s="502">
        <f t="shared" si="4"/>
        <v>223</v>
      </c>
      <c r="B257" s="500" t="s">
        <v>976</v>
      </c>
      <c r="C257" s="500" t="s">
        <v>976</v>
      </c>
      <c r="D257" s="501" t="s">
        <v>2003</v>
      </c>
      <c r="E257" s="497">
        <f>'Table of Content 2'!E479</f>
        <v>171.19</v>
      </c>
    </row>
    <row r="258" spans="1:5" ht="51">
      <c r="A258" s="502">
        <f t="shared" si="4"/>
        <v>224</v>
      </c>
      <c r="B258" s="500" t="s">
        <v>977</v>
      </c>
      <c r="C258" s="500" t="s">
        <v>978</v>
      </c>
      <c r="D258" s="501" t="s">
        <v>3459</v>
      </c>
      <c r="E258" s="497" t="e">
        <f>'Table of Content 2'!E480</f>
        <v>#REF!</v>
      </c>
    </row>
    <row r="259" spans="1:5" ht="25.5">
      <c r="A259" s="502">
        <f t="shared" si="4"/>
        <v>225</v>
      </c>
      <c r="B259" s="500" t="s">
        <v>979</v>
      </c>
      <c r="C259" s="500" t="s">
        <v>980</v>
      </c>
      <c r="D259" s="501" t="s">
        <v>2003</v>
      </c>
      <c r="E259" s="497" t="e">
        <f>'Table of Content 2'!E481</f>
        <v>#REF!</v>
      </c>
    </row>
    <row r="260" spans="1:5" ht="25.5">
      <c r="A260" s="502">
        <f t="shared" si="4"/>
        <v>226</v>
      </c>
      <c r="B260" s="500" t="s">
        <v>981</v>
      </c>
      <c r="C260" s="500" t="s">
        <v>981</v>
      </c>
      <c r="D260" s="501" t="s">
        <v>2003</v>
      </c>
      <c r="E260" s="497">
        <f>'Table of Content 2'!E482</f>
        <v>632.5</v>
      </c>
    </row>
    <row r="261" spans="1:5" ht="51">
      <c r="A261" s="502">
        <f t="shared" si="4"/>
        <v>227</v>
      </c>
      <c r="B261" s="500" t="s">
        <v>982</v>
      </c>
      <c r="C261" s="500" t="s">
        <v>983</v>
      </c>
      <c r="D261" s="501" t="s">
        <v>2003</v>
      </c>
      <c r="E261" s="497">
        <f>'Table of Content 2'!E483</f>
        <v>804.31</v>
      </c>
    </row>
    <row r="262" spans="1:5" ht="51">
      <c r="A262" s="502">
        <f t="shared" si="4"/>
        <v>228</v>
      </c>
      <c r="B262" s="500" t="s">
        <v>984</v>
      </c>
      <c r="C262" s="500" t="s">
        <v>985</v>
      </c>
      <c r="D262" s="501" t="s">
        <v>2003</v>
      </c>
      <c r="E262" s="497">
        <f>'Table of Content 2'!E484</f>
        <v>1175.53</v>
      </c>
    </row>
    <row r="263" spans="1:5" ht="38.25">
      <c r="A263" s="502">
        <f t="shared" si="4"/>
        <v>229</v>
      </c>
      <c r="B263" s="500" t="s">
        <v>2918</v>
      </c>
      <c r="C263" s="500" t="s">
        <v>2919</v>
      </c>
      <c r="D263" s="501" t="s">
        <v>2003</v>
      </c>
      <c r="E263" s="497">
        <f>'Table of Content 2'!E485</f>
        <v>1064.1600000000001</v>
      </c>
    </row>
    <row r="264" spans="1:5" ht="38.25">
      <c r="A264" s="502">
        <f t="shared" si="4"/>
        <v>230</v>
      </c>
      <c r="B264" s="500" t="s">
        <v>2920</v>
      </c>
      <c r="C264" s="500" t="s">
        <v>1035</v>
      </c>
      <c r="D264" s="501" t="s">
        <v>2003</v>
      </c>
      <c r="E264" s="497">
        <f>'Table of Content 2'!E486</f>
        <v>1212.6500000000001</v>
      </c>
    </row>
    <row r="265" spans="1:5" ht="38.25">
      <c r="A265" s="502">
        <f t="shared" si="4"/>
        <v>231</v>
      </c>
      <c r="B265" s="500" t="s">
        <v>1036</v>
      </c>
      <c r="C265" s="500" t="s">
        <v>1036</v>
      </c>
      <c r="D265" s="501" t="s">
        <v>2003</v>
      </c>
      <c r="E265" s="497">
        <f>'Table of Content 2'!E487</f>
        <v>1361.1399999999999</v>
      </c>
    </row>
    <row r="266" spans="1:5" ht="38.25">
      <c r="A266" s="502">
        <f t="shared" si="4"/>
        <v>232</v>
      </c>
      <c r="B266" s="500" t="s">
        <v>1037</v>
      </c>
      <c r="C266" s="500" t="s">
        <v>1037</v>
      </c>
      <c r="D266" s="501" t="s">
        <v>2003</v>
      </c>
      <c r="E266" s="497">
        <f>'Table of Content 2'!E488</f>
        <v>903.30000000000007</v>
      </c>
    </row>
    <row r="267" spans="1:5" ht="38.25">
      <c r="A267" s="502">
        <f t="shared" si="4"/>
        <v>233</v>
      </c>
      <c r="B267" s="500" t="s">
        <v>1038</v>
      </c>
      <c r="C267" s="500" t="s">
        <v>1038</v>
      </c>
      <c r="D267" s="501" t="s">
        <v>2003</v>
      </c>
      <c r="E267" s="497">
        <f>'Table of Content 2'!E489</f>
        <v>663.77</v>
      </c>
    </row>
    <row r="268" spans="1:5" ht="38.25">
      <c r="A268" s="502">
        <f t="shared" si="4"/>
        <v>234</v>
      </c>
      <c r="B268" s="500" t="s">
        <v>1039</v>
      </c>
      <c r="C268" s="500" t="s">
        <v>1039</v>
      </c>
      <c r="D268" s="501" t="s">
        <v>2003</v>
      </c>
      <c r="E268" s="497">
        <f>'Table of Content 2'!E490</f>
        <v>1059.3700000000001</v>
      </c>
    </row>
    <row r="269" spans="1:5" ht="38.25">
      <c r="A269" s="502">
        <f t="shared" si="4"/>
        <v>235</v>
      </c>
      <c r="B269" s="500" t="s">
        <v>65</v>
      </c>
      <c r="C269" s="500" t="s">
        <v>65</v>
      </c>
      <c r="D269" s="501" t="s">
        <v>2003</v>
      </c>
      <c r="E269" s="497">
        <f>'Table of Content 2'!E491</f>
        <v>1695.23</v>
      </c>
    </row>
    <row r="270" spans="1:5" ht="51">
      <c r="A270" s="502">
        <f t="shared" si="4"/>
        <v>236</v>
      </c>
      <c r="B270" s="500" t="s">
        <v>66</v>
      </c>
      <c r="C270" s="500" t="s">
        <v>66</v>
      </c>
      <c r="D270" s="501" t="s">
        <v>2003</v>
      </c>
      <c r="E270" s="497">
        <f>'Table of Content 2'!E492</f>
        <v>593.95000000000005</v>
      </c>
    </row>
    <row r="271" spans="1:5" ht="63.75">
      <c r="A271" s="502">
        <f t="shared" si="4"/>
        <v>237</v>
      </c>
      <c r="B271" s="500" t="s">
        <v>67</v>
      </c>
      <c r="C271" s="500" t="s">
        <v>68</v>
      </c>
      <c r="D271" s="501" t="s">
        <v>3459</v>
      </c>
      <c r="E271" s="497">
        <f>'Table of Content 2'!E493</f>
        <v>9128.24</v>
      </c>
    </row>
    <row r="272" spans="1:5" ht="25.5">
      <c r="A272" s="502">
        <f t="shared" si="4"/>
        <v>238</v>
      </c>
      <c r="B272" s="500" t="s">
        <v>3250</v>
      </c>
      <c r="C272" s="500" t="s">
        <v>3250</v>
      </c>
      <c r="D272" s="501" t="s">
        <v>2003</v>
      </c>
      <c r="E272" s="497">
        <f>'Table of Content 2'!E494</f>
        <v>1577.56</v>
      </c>
    </row>
    <row r="273" spans="1:5">
      <c r="A273" s="502">
        <f t="shared" si="4"/>
        <v>239</v>
      </c>
      <c r="B273" s="500" t="s">
        <v>3251</v>
      </c>
      <c r="C273" s="500" t="s">
        <v>3251</v>
      </c>
      <c r="D273" s="501" t="s">
        <v>2003</v>
      </c>
      <c r="E273" s="497">
        <f>'Table of Content 2'!E495</f>
        <v>19396.240000000002</v>
      </c>
    </row>
    <row r="274" spans="1:5">
      <c r="A274" s="502">
        <f t="shared" si="4"/>
        <v>240</v>
      </c>
      <c r="B274" s="500" t="s">
        <v>3252</v>
      </c>
      <c r="C274" s="500" t="s">
        <v>3252</v>
      </c>
      <c r="D274" s="501" t="s">
        <v>2003</v>
      </c>
      <c r="E274" s="497">
        <f>'Table of Content 2'!E496</f>
        <v>6465.41</v>
      </c>
    </row>
    <row r="275" spans="1:5" ht="47.25">
      <c r="A275" s="502">
        <f t="shared" si="4"/>
        <v>241</v>
      </c>
      <c r="B275" s="290" t="s">
        <v>2247</v>
      </c>
      <c r="C275" s="290" t="s">
        <v>2247</v>
      </c>
      <c r="D275" s="501" t="s">
        <v>2003</v>
      </c>
      <c r="E275" s="497" t="e">
        <f>'Table of Content 2'!E497</f>
        <v>#REF!</v>
      </c>
    </row>
    <row r="276" spans="1:5" ht="47.25">
      <c r="A276" s="502">
        <f t="shared" si="4"/>
        <v>242</v>
      </c>
      <c r="B276" s="290" t="s">
        <v>2246</v>
      </c>
      <c r="C276" s="290" t="s">
        <v>2246</v>
      </c>
      <c r="D276" s="501" t="s">
        <v>2003</v>
      </c>
      <c r="E276" s="497" t="e">
        <f>'Table of Content 2'!E498</f>
        <v>#REF!</v>
      </c>
    </row>
    <row r="277" spans="1:5" ht="47.25">
      <c r="A277" s="502">
        <f t="shared" si="4"/>
        <v>243</v>
      </c>
      <c r="B277" s="290" t="s">
        <v>2245</v>
      </c>
      <c r="C277" s="290" t="s">
        <v>2658</v>
      </c>
      <c r="D277" s="501" t="s">
        <v>2003</v>
      </c>
      <c r="E277" s="497" t="e">
        <f>'Table of Content 2'!E499</f>
        <v>#REF!</v>
      </c>
    </row>
    <row r="278" spans="1:5" ht="47.25">
      <c r="A278" s="502">
        <f t="shared" si="4"/>
        <v>244</v>
      </c>
      <c r="B278" s="290" t="s">
        <v>2244</v>
      </c>
      <c r="C278" s="290" t="s">
        <v>2244</v>
      </c>
      <c r="D278" s="501" t="s">
        <v>2003</v>
      </c>
      <c r="E278" s="497" t="e">
        <f>'Table of Content 2'!E500</f>
        <v>#REF!</v>
      </c>
    </row>
    <row r="279" spans="1:5" ht="47.25">
      <c r="A279" s="502">
        <f t="shared" si="4"/>
        <v>245</v>
      </c>
      <c r="B279" s="290" t="s">
        <v>2243</v>
      </c>
      <c r="C279" s="290" t="s">
        <v>2243</v>
      </c>
      <c r="D279" s="501" t="s">
        <v>2003</v>
      </c>
      <c r="E279" s="497" t="e">
        <f>'Table of Content 2'!E501</f>
        <v>#REF!</v>
      </c>
    </row>
    <row r="280" spans="1:5" ht="47.25">
      <c r="A280" s="502">
        <f t="shared" si="4"/>
        <v>246</v>
      </c>
      <c r="B280" s="290" t="s">
        <v>2242</v>
      </c>
      <c r="C280" s="290" t="s">
        <v>2242</v>
      </c>
      <c r="D280" s="512" t="s">
        <v>2003</v>
      </c>
      <c r="E280" s="497" t="e">
        <f>'Table of Content 2'!E502</f>
        <v>#REF!</v>
      </c>
    </row>
    <row r="281" spans="1:5" ht="47.25">
      <c r="A281" s="502">
        <f t="shared" si="4"/>
        <v>247</v>
      </c>
      <c r="B281" s="290" t="s">
        <v>2241</v>
      </c>
      <c r="C281" s="290" t="s">
        <v>2241</v>
      </c>
      <c r="D281" s="512" t="s">
        <v>2003</v>
      </c>
      <c r="E281" s="497">
        <f>'Table of Content 2'!E503</f>
        <v>1734.2</v>
      </c>
    </row>
    <row r="282" spans="1:5" ht="47.25">
      <c r="A282" s="502">
        <f t="shared" si="4"/>
        <v>248</v>
      </c>
      <c r="B282" s="290" t="s">
        <v>2240</v>
      </c>
      <c r="C282" s="290" t="s">
        <v>2241</v>
      </c>
      <c r="D282" s="512" t="s">
        <v>2003</v>
      </c>
      <c r="E282" s="497">
        <f>'Table of Content 2'!E504</f>
        <v>1342.5700000000002</v>
      </c>
    </row>
    <row r="283" spans="1:5" ht="63.75">
      <c r="A283" s="502">
        <f t="shared" si="4"/>
        <v>249</v>
      </c>
      <c r="B283" s="558" t="s">
        <v>2871</v>
      </c>
      <c r="C283" s="513" t="s">
        <v>2872</v>
      </c>
      <c r="D283" s="512" t="s">
        <v>2003</v>
      </c>
      <c r="E283" s="497">
        <f>'Table of Content 2'!E505</f>
        <v>5932.55</v>
      </c>
    </row>
    <row r="284" spans="1:5" ht="63.75">
      <c r="A284" s="502">
        <f t="shared" si="4"/>
        <v>250</v>
      </c>
      <c r="B284" s="558" t="s">
        <v>461</v>
      </c>
      <c r="C284" s="513" t="s">
        <v>1481</v>
      </c>
      <c r="D284" s="512" t="s">
        <v>2003</v>
      </c>
      <c r="E284" s="497">
        <f>'Table of Content 2'!E506</f>
        <v>6380.74</v>
      </c>
    </row>
    <row r="285" spans="1:5" ht="63.75">
      <c r="A285" s="502">
        <f t="shared" si="4"/>
        <v>251</v>
      </c>
      <c r="B285" s="558" t="s">
        <v>1482</v>
      </c>
      <c r="C285" s="513" t="s">
        <v>1483</v>
      </c>
      <c r="D285" s="512" t="s">
        <v>2003</v>
      </c>
      <c r="E285" s="497">
        <f>'Table of Content 2'!E507</f>
        <v>6073.85</v>
      </c>
    </row>
    <row r="286" spans="1:5" ht="51">
      <c r="A286" s="502">
        <f t="shared" si="4"/>
        <v>252</v>
      </c>
      <c r="B286" s="467" t="s">
        <v>1034</v>
      </c>
      <c r="C286" s="467" t="s">
        <v>1034</v>
      </c>
      <c r="D286" s="512" t="s">
        <v>2003</v>
      </c>
      <c r="E286" s="497">
        <f>'Table of Content 2'!E508</f>
        <v>3955.81</v>
      </c>
    </row>
    <row r="287" spans="1:5" ht="51">
      <c r="A287" s="502">
        <f t="shared" si="4"/>
        <v>253</v>
      </c>
      <c r="B287" s="467" t="s">
        <v>221</v>
      </c>
      <c r="C287" s="467" t="s">
        <v>221</v>
      </c>
      <c r="D287" s="512" t="s">
        <v>2003</v>
      </c>
      <c r="E287" s="497">
        <f>'Table of Content 2'!E509</f>
        <v>4868.01</v>
      </c>
    </row>
    <row r="288" spans="1:5" ht="63.75">
      <c r="A288" s="502">
        <f t="shared" si="4"/>
        <v>254</v>
      </c>
      <c r="B288" s="467" t="s">
        <v>2238</v>
      </c>
      <c r="C288" s="467" t="s">
        <v>2238</v>
      </c>
      <c r="D288" s="512" t="s">
        <v>2003</v>
      </c>
      <c r="E288" s="497">
        <f>'Table of Content 2'!E510</f>
        <v>4261.6899999999996</v>
      </c>
    </row>
    <row r="289" spans="1:5" ht="63.75">
      <c r="A289" s="502">
        <f t="shared" si="4"/>
        <v>255</v>
      </c>
      <c r="B289" s="467" t="s">
        <v>2239</v>
      </c>
      <c r="C289" s="467" t="s">
        <v>2239</v>
      </c>
      <c r="D289" s="512" t="s">
        <v>2003</v>
      </c>
      <c r="E289" s="497">
        <f>'Table of Content 2'!E511</f>
        <v>4942.26</v>
      </c>
    </row>
    <row r="290" spans="1:5" ht="25.5">
      <c r="A290" s="502">
        <f t="shared" ref="A290:A320" si="5">A289+1</f>
        <v>256</v>
      </c>
      <c r="B290" s="558" t="s">
        <v>1484</v>
      </c>
      <c r="C290" s="515" t="s">
        <v>1485</v>
      </c>
      <c r="D290" s="512" t="s">
        <v>2003</v>
      </c>
      <c r="E290" s="497">
        <f>'Table of Content 2'!E512</f>
        <v>289.14</v>
      </c>
    </row>
    <row r="291" spans="1:5" ht="25.5">
      <c r="A291" s="502">
        <f t="shared" si="5"/>
        <v>257</v>
      </c>
      <c r="B291" s="558" t="s">
        <v>1486</v>
      </c>
      <c r="C291" s="515" t="s">
        <v>2390</v>
      </c>
      <c r="D291" s="512" t="s">
        <v>2003</v>
      </c>
      <c r="E291" s="497">
        <f>'Table of Content 2'!E513</f>
        <v>910.37</v>
      </c>
    </row>
    <row r="292" spans="1:5" ht="76.5">
      <c r="A292" s="502">
        <f t="shared" si="5"/>
        <v>258</v>
      </c>
      <c r="B292" s="558" t="s">
        <v>2391</v>
      </c>
      <c r="C292" s="514" t="s">
        <v>2392</v>
      </c>
      <c r="D292" s="512" t="s">
        <v>2003</v>
      </c>
      <c r="E292" s="497">
        <f>'Table of Content 2'!E514</f>
        <v>3063.5317594154017</v>
      </c>
    </row>
    <row r="293" spans="1:5" ht="76.5">
      <c r="A293" s="502">
        <f t="shared" si="5"/>
        <v>259</v>
      </c>
      <c r="B293" s="558" t="s">
        <v>119</v>
      </c>
      <c r="C293" s="514" t="s">
        <v>120</v>
      </c>
      <c r="D293" s="512" t="s">
        <v>2003</v>
      </c>
      <c r="E293" s="497">
        <f>'Table of Content 2'!E515</f>
        <v>3421.9831365935916</v>
      </c>
    </row>
    <row r="294" spans="1:5" ht="38.25">
      <c r="A294" s="502">
        <f t="shared" si="5"/>
        <v>260</v>
      </c>
      <c r="B294" s="505" t="s">
        <v>121</v>
      </c>
      <c r="C294" s="515" t="s">
        <v>122</v>
      </c>
      <c r="D294" s="512" t="s">
        <v>2003</v>
      </c>
      <c r="E294" s="497">
        <f>'Table of Content 2'!E516</f>
        <v>2347.06</v>
      </c>
    </row>
    <row r="295" spans="1:5" ht="76.5">
      <c r="A295" s="502">
        <f t="shared" si="5"/>
        <v>261</v>
      </c>
      <c r="B295" s="505" t="s">
        <v>123</v>
      </c>
      <c r="C295" s="515" t="s">
        <v>124</v>
      </c>
      <c r="D295" s="512" t="s">
        <v>2003</v>
      </c>
      <c r="E295" s="497">
        <f>'Table of Content 2'!E517</f>
        <v>0</v>
      </c>
    </row>
    <row r="296" spans="1:5" ht="38.25">
      <c r="A296" s="502">
        <f t="shared" si="5"/>
        <v>262</v>
      </c>
      <c r="B296" s="495" t="s">
        <v>2602</v>
      </c>
      <c r="C296" s="495" t="s">
        <v>2659</v>
      </c>
      <c r="D296" s="520"/>
      <c r="E296" s="497">
        <f>'Table of Content 2'!E518</f>
        <v>194.12</v>
      </c>
    </row>
    <row r="297" spans="1:5" ht="51">
      <c r="A297" s="502">
        <f t="shared" si="5"/>
        <v>263</v>
      </c>
      <c r="B297" s="495" t="s">
        <v>2601</v>
      </c>
      <c r="C297" s="495" t="s">
        <v>2660</v>
      </c>
      <c r="D297" s="520"/>
      <c r="E297" s="497">
        <f>'Table of Content 2'!E519</f>
        <v>106.3</v>
      </c>
    </row>
    <row r="298" spans="1:5" ht="51">
      <c r="A298" s="502">
        <f t="shared" si="5"/>
        <v>264</v>
      </c>
      <c r="B298" s="500" t="s">
        <v>602</v>
      </c>
      <c r="C298" s="500" t="s">
        <v>2661</v>
      </c>
      <c r="D298" s="520"/>
      <c r="E298" s="497">
        <f>'Table of Content 2'!E520</f>
        <v>2035.48</v>
      </c>
    </row>
    <row r="299" spans="1:5" ht="51">
      <c r="A299" s="502">
        <f t="shared" si="5"/>
        <v>265</v>
      </c>
      <c r="B299" s="500" t="s">
        <v>603</v>
      </c>
      <c r="C299" s="500" t="s">
        <v>2662</v>
      </c>
      <c r="D299" s="520"/>
      <c r="E299" s="497">
        <f>'Table of Content 2'!E521</f>
        <v>4798.6000000000004</v>
      </c>
    </row>
    <row r="300" spans="1:5" ht="38.25">
      <c r="A300" s="502">
        <f t="shared" si="5"/>
        <v>266</v>
      </c>
      <c r="B300" s="495" t="s">
        <v>604</v>
      </c>
      <c r="C300" s="495" t="s">
        <v>2663</v>
      </c>
      <c r="D300" s="520"/>
      <c r="E300" s="497">
        <f>'Table of Content 2'!E522</f>
        <v>66.7</v>
      </c>
    </row>
    <row r="301" spans="1:5" ht="38.25">
      <c r="A301" s="502">
        <f t="shared" si="5"/>
        <v>267</v>
      </c>
      <c r="B301" s="495" t="s">
        <v>605</v>
      </c>
      <c r="C301" s="495" t="s">
        <v>2673</v>
      </c>
      <c r="D301" s="520"/>
      <c r="E301" s="497">
        <f>'Table of Content 2'!E523</f>
        <v>929.52</v>
      </c>
    </row>
    <row r="302" spans="1:5" ht="51">
      <c r="A302" s="502">
        <f t="shared" si="5"/>
        <v>268</v>
      </c>
      <c r="B302" s="495" t="s">
        <v>606</v>
      </c>
      <c r="C302" s="495" t="s">
        <v>2674</v>
      </c>
      <c r="D302" s="520"/>
      <c r="E302" s="497">
        <f>'Table of Content 2'!E524</f>
        <v>6054.56</v>
      </c>
    </row>
    <row r="303" spans="1:5" ht="81.75" customHeight="1">
      <c r="A303" s="502">
        <f t="shared" si="5"/>
        <v>269</v>
      </c>
      <c r="B303" s="290" t="s">
        <v>2935</v>
      </c>
      <c r="C303" s="290" t="s">
        <v>2675</v>
      </c>
      <c r="D303" s="522"/>
      <c r="E303" s="497" t="e">
        <f>'Table of Content 2'!E525</f>
        <v>#REF!</v>
      </c>
    </row>
    <row r="304" spans="1:5" s="523" customFormat="1" ht="38.25">
      <c r="A304" s="502">
        <f t="shared" si="5"/>
        <v>270</v>
      </c>
      <c r="B304" s="565" t="s">
        <v>2756</v>
      </c>
      <c r="C304" s="565" t="s">
        <v>2107</v>
      </c>
      <c r="D304" s="522"/>
      <c r="E304" s="497">
        <f>'Table of Content 2'!E526</f>
        <v>2840.87</v>
      </c>
    </row>
    <row r="305" spans="1:5" ht="38.25">
      <c r="A305" s="502">
        <f t="shared" si="5"/>
        <v>271</v>
      </c>
      <c r="B305" s="375" t="s">
        <v>2237</v>
      </c>
      <c r="C305" s="375" t="s">
        <v>2106</v>
      </c>
      <c r="D305" s="520"/>
      <c r="E305" s="497">
        <f>'Table of Content 2'!E527</f>
        <v>1586.96</v>
      </c>
    </row>
    <row r="306" spans="1:5" ht="38.25">
      <c r="A306" s="502">
        <f t="shared" si="5"/>
        <v>272</v>
      </c>
      <c r="B306" s="466" t="s">
        <v>2234</v>
      </c>
      <c r="C306" s="466" t="s">
        <v>3179</v>
      </c>
      <c r="D306" s="524"/>
      <c r="E306" s="497">
        <f>'Table of Content 2'!E528</f>
        <v>5289.88</v>
      </c>
    </row>
    <row r="307" spans="1:5" ht="38.25">
      <c r="A307" s="502">
        <f t="shared" si="5"/>
        <v>273</v>
      </c>
      <c r="B307" s="375" t="s">
        <v>2609</v>
      </c>
      <c r="C307" s="375" t="s">
        <v>2609</v>
      </c>
      <c r="D307" s="524"/>
      <c r="E307" s="497">
        <f>'Table of Content 2'!E529</f>
        <v>1051.79</v>
      </c>
    </row>
    <row r="308" spans="1:5" ht="38.25">
      <c r="A308" s="502">
        <f t="shared" si="5"/>
        <v>274</v>
      </c>
      <c r="B308" s="375" t="s">
        <v>3633</v>
      </c>
      <c r="C308" s="375" t="s">
        <v>3633</v>
      </c>
      <c r="D308" s="524"/>
      <c r="E308" s="497">
        <f>'Table of Content 2'!E530</f>
        <v>1299.27</v>
      </c>
    </row>
    <row r="309" spans="1:5" ht="38.25">
      <c r="A309" s="502">
        <f t="shared" si="5"/>
        <v>275</v>
      </c>
      <c r="B309" s="375" t="s">
        <v>3632</v>
      </c>
      <c r="C309" s="375" t="s">
        <v>3632</v>
      </c>
      <c r="D309" s="524"/>
      <c r="E309" s="497">
        <f>'Table of Content 2'!E531</f>
        <v>1670.49</v>
      </c>
    </row>
    <row r="310" spans="1:5" s="523" customFormat="1" ht="38.25">
      <c r="A310" s="502">
        <f t="shared" si="5"/>
        <v>276</v>
      </c>
      <c r="B310" s="375" t="s">
        <v>3631</v>
      </c>
      <c r="C310" s="375" t="s">
        <v>3631</v>
      </c>
      <c r="D310" s="524"/>
      <c r="E310" s="497">
        <f>'Table of Content 2'!E532</f>
        <v>1051.79</v>
      </c>
    </row>
    <row r="311" spans="1:5" s="523" customFormat="1" ht="38.25">
      <c r="A311" s="502">
        <f t="shared" si="5"/>
        <v>277</v>
      </c>
      <c r="B311" s="375" t="s">
        <v>3637</v>
      </c>
      <c r="C311" s="375" t="s">
        <v>3637</v>
      </c>
      <c r="D311" s="524"/>
      <c r="E311" s="497">
        <f>'Table of Content 2'!E533</f>
        <v>272.22000000000003</v>
      </c>
    </row>
    <row r="312" spans="1:5" s="523" customFormat="1" ht="38.25">
      <c r="A312" s="502">
        <f t="shared" si="5"/>
        <v>278</v>
      </c>
      <c r="B312" s="375" t="s">
        <v>2667</v>
      </c>
      <c r="C312" s="375" t="s">
        <v>2667</v>
      </c>
      <c r="D312" s="524"/>
      <c r="E312" s="497">
        <f>'Table of Content 2'!E534</f>
        <v>3078.03</v>
      </c>
    </row>
    <row r="313" spans="1:5" s="523" customFormat="1" ht="38.25">
      <c r="A313" s="502">
        <f t="shared" si="5"/>
        <v>279</v>
      </c>
      <c r="B313" s="375" t="s">
        <v>2666</v>
      </c>
      <c r="C313" s="375" t="s">
        <v>2666</v>
      </c>
      <c r="D313" s="524"/>
      <c r="E313" s="497">
        <f>'Table of Content 2'!E535</f>
        <v>2345.61</v>
      </c>
    </row>
    <row r="314" spans="1:5" s="523" customFormat="1" ht="38.25">
      <c r="A314" s="502">
        <f t="shared" si="5"/>
        <v>280</v>
      </c>
      <c r="B314" s="375" t="s">
        <v>2665</v>
      </c>
      <c r="C314" s="375" t="s">
        <v>2665</v>
      </c>
      <c r="D314" s="524"/>
      <c r="E314" s="497">
        <f>'Table of Content 2'!E536</f>
        <v>1948.16</v>
      </c>
    </row>
    <row r="315" spans="1:5" s="523" customFormat="1" ht="38.25">
      <c r="A315" s="502">
        <f t="shared" si="5"/>
        <v>281</v>
      </c>
      <c r="B315" s="375" t="s">
        <v>2664</v>
      </c>
      <c r="C315" s="375" t="s">
        <v>2664</v>
      </c>
      <c r="D315" s="524"/>
      <c r="E315" s="497">
        <f>'Table of Content 2'!E537</f>
        <v>2067.0700000000002</v>
      </c>
    </row>
    <row r="316" spans="1:5" s="523" customFormat="1" ht="38.25">
      <c r="A316" s="502">
        <f t="shared" si="5"/>
        <v>282</v>
      </c>
      <c r="B316" s="375" t="s">
        <v>2758</v>
      </c>
      <c r="C316" s="375" t="s">
        <v>2758</v>
      </c>
      <c r="D316" s="524"/>
      <c r="E316" s="497">
        <f>'Table of Content 2'!E538</f>
        <v>395.96</v>
      </c>
    </row>
    <row r="317" spans="1:5" s="523" customFormat="1" ht="38.25">
      <c r="A317" s="502">
        <f t="shared" si="5"/>
        <v>283</v>
      </c>
      <c r="B317" s="375" t="s">
        <v>990</v>
      </c>
      <c r="C317" s="375" t="s">
        <v>990</v>
      </c>
      <c r="D317" s="524"/>
      <c r="E317" s="497">
        <f>'Table of Content 2'!E539</f>
        <v>482.58</v>
      </c>
    </row>
    <row r="318" spans="1:5" s="523" customFormat="1" ht="38.25">
      <c r="A318" s="502">
        <f t="shared" si="5"/>
        <v>284</v>
      </c>
      <c r="B318" s="495" t="s">
        <v>2757</v>
      </c>
      <c r="C318" s="495" t="s">
        <v>2757</v>
      </c>
      <c r="D318" s="524"/>
      <c r="E318" s="497">
        <f>'Table of Content 2'!E540</f>
        <v>1583.38</v>
      </c>
    </row>
    <row r="319" spans="1:5" s="523" customFormat="1" ht="25.5">
      <c r="A319" s="502">
        <f t="shared" si="5"/>
        <v>285</v>
      </c>
      <c r="B319" s="466" t="s">
        <v>2724</v>
      </c>
      <c r="C319" s="466" t="s">
        <v>2724</v>
      </c>
      <c r="D319" s="524"/>
      <c r="E319" s="497">
        <f>'Table of Content 2'!E541</f>
        <v>1643.8500000000001</v>
      </c>
    </row>
    <row r="320" spans="1:5" s="523" customFormat="1" ht="25.5">
      <c r="A320" s="502">
        <f t="shared" si="5"/>
        <v>286</v>
      </c>
      <c r="B320" s="559" t="s">
        <v>2725</v>
      </c>
      <c r="C320" s="559" t="s">
        <v>2725</v>
      </c>
      <c r="D320" s="524"/>
      <c r="E320" s="497">
        <f>'Table of Content 2'!E542</f>
        <v>1616.6200000000001</v>
      </c>
    </row>
    <row r="321" spans="1:5">
      <c r="A321" s="502"/>
      <c r="B321" s="500"/>
      <c r="C321" s="500"/>
      <c r="D321" s="501"/>
      <c r="E321" s="525"/>
    </row>
    <row r="322" spans="1:5">
      <c r="A322" s="502"/>
      <c r="B322" s="500"/>
      <c r="C322" s="500"/>
      <c r="D322" s="501"/>
      <c r="E322" s="525"/>
    </row>
    <row r="323" spans="1:5">
      <c r="A323" s="502"/>
      <c r="B323" s="519"/>
      <c r="C323" s="519"/>
      <c r="D323" s="520"/>
      <c r="E323" s="525"/>
    </row>
    <row r="324" spans="1:5">
      <c r="A324" s="502"/>
      <c r="B324" s="519"/>
      <c r="C324" s="519"/>
      <c r="D324" s="520"/>
      <c r="E324" s="525"/>
    </row>
    <row r="325" spans="1:5">
      <c r="A325" s="502"/>
      <c r="B325" s="500"/>
      <c r="C325" s="500"/>
      <c r="D325" s="501"/>
      <c r="E325" s="525"/>
    </row>
    <row r="326" spans="1:5">
      <c r="A326" s="502"/>
      <c r="B326" s="500"/>
      <c r="C326" s="500"/>
      <c r="D326" s="501"/>
      <c r="E326" s="525"/>
    </row>
    <row r="327" spans="1:5" s="530" customFormat="1">
      <c r="A327" s="526">
        <v>1000</v>
      </c>
      <c r="B327" s="527" t="s">
        <v>1440</v>
      </c>
      <c r="C327" s="527" t="s">
        <v>1440</v>
      </c>
      <c r="D327" s="528"/>
      <c r="E327" s="529"/>
    </row>
    <row r="328" spans="1:5" ht="63.75">
      <c r="A328" s="502">
        <v>1001</v>
      </c>
      <c r="B328" s="531" t="s">
        <v>1441</v>
      </c>
      <c r="C328" s="532" t="s">
        <v>3665</v>
      </c>
      <c r="D328" s="533" t="s">
        <v>3666</v>
      </c>
      <c r="E328" s="603">
        <v>8595.67</v>
      </c>
    </row>
    <row r="329" spans="1:5" ht="63.75">
      <c r="A329" s="510">
        <v>1002</v>
      </c>
      <c r="B329" s="531" t="s">
        <v>1930</v>
      </c>
      <c r="C329" s="532" t="s">
        <v>1931</v>
      </c>
      <c r="D329" s="533" t="s">
        <v>3666</v>
      </c>
      <c r="E329" s="603">
        <v>7746.36</v>
      </c>
    </row>
    <row r="330" spans="1:5" ht="63.75">
      <c r="A330" s="510">
        <v>1003</v>
      </c>
      <c r="B330" s="531" t="s">
        <v>947</v>
      </c>
      <c r="C330" s="532" t="s">
        <v>948</v>
      </c>
      <c r="D330" s="533" t="s">
        <v>3666</v>
      </c>
      <c r="E330" s="603">
        <v>7798.2</v>
      </c>
    </row>
    <row r="331" spans="1:5" ht="25.5">
      <c r="A331" s="510">
        <v>1004</v>
      </c>
      <c r="B331" s="531" t="s">
        <v>949</v>
      </c>
      <c r="C331" s="500" t="s">
        <v>950</v>
      </c>
      <c r="D331" s="533" t="s">
        <v>3666</v>
      </c>
      <c r="E331" s="603">
        <v>3496.05</v>
      </c>
    </row>
    <row r="332" spans="1:5" ht="25.5">
      <c r="A332" s="510">
        <v>1005</v>
      </c>
      <c r="B332" s="500" t="s">
        <v>951</v>
      </c>
      <c r="C332" s="500" t="s">
        <v>952</v>
      </c>
      <c r="D332" s="533" t="s">
        <v>3666</v>
      </c>
      <c r="E332" s="603">
        <v>5099.6099999999997</v>
      </c>
    </row>
    <row r="333" spans="1:5">
      <c r="A333" s="510">
        <v>1006</v>
      </c>
      <c r="B333" s="500" t="s">
        <v>953</v>
      </c>
      <c r="C333" s="500" t="s">
        <v>954</v>
      </c>
      <c r="D333" s="533" t="s">
        <v>3666</v>
      </c>
      <c r="E333" s="603">
        <v>3980.78</v>
      </c>
    </row>
    <row r="334" spans="1:5" ht="41.25" customHeight="1">
      <c r="A334" s="510">
        <v>1007</v>
      </c>
      <c r="B334" s="495" t="s">
        <v>955</v>
      </c>
      <c r="C334" s="495" t="s">
        <v>956</v>
      </c>
      <c r="D334" s="533" t="s">
        <v>3666</v>
      </c>
      <c r="E334" s="603">
        <v>7913.8450000000003</v>
      </c>
    </row>
    <row r="335" spans="1:5" ht="51">
      <c r="A335" s="510">
        <v>1008</v>
      </c>
      <c r="B335" s="495" t="s">
        <v>957</v>
      </c>
      <c r="C335" s="495" t="s">
        <v>968</v>
      </c>
      <c r="D335" s="533" t="s">
        <v>3666</v>
      </c>
      <c r="E335" s="603">
        <v>16809.759999999998</v>
      </c>
    </row>
    <row r="336" spans="1:5" ht="51">
      <c r="A336" s="510">
        <v>1009</v>
      </c>
      <c r="B336" s="495" t="s">
        <v>969</v>
      </c>
      <c r="C336" s="495" t="s">
        <v>970</v>
      </c>
      <c r="D336" s="533" t="s">
        <v>3666</v>
      </c>
      <c r="E336" s="603">
        <v>13115.23</v>
      </c>
    </row>
    <row r="337" spans="1:5" ht="38.25">
      <c r="A337" s="510">
        <v>1010</v>
      </c>
      <c r="B337" s="495" t="s">
        <v>873</v>
      </c>
      <c r="C337" s="495" t="s">
        <v>2394</v>
      </c>
      <c r="D337" s="533" t="s">
        <v>3666</v>
      </c>
      <c r="E337" s="603">
        <v>17360.86</v>
      </c>
    </row>
    <row r="338" spans="1:5" ht="38.25">
      <c r="A338" s="510">
        <v>1011</v>
      </c>
      <c r="B338" s="495" t="s">
        <v>2395</v>
      </c>
      <c r="C338" s="495" t="s">
        <v>2396</v>
      </c>
      <c r="D338" s="533" t="s">
        <v>3666</v>
      </c>
      <c r="E338" s="603">
        <v>35809.730000000003</v>
      </c>
    </row>
    <row r="339" spans="1:5" ht="63.75">
      <c r="A339" s="510">
        <v>1012</v>
      </c>
      <c r="B339" s="495" t="s">
        <v>2397</v>
      </c>
      <c r="C339" s="495" t="s">
        <v>3413</v>
      </c>
      <c r="D339" s="533" t="s">
        <v>3666</v>
      </c>
      <c r="E339" s="603">
        <v>6900.92</v>
      </c>
    </row>
    <row r="340" spans="1:5" ht="76.5">
      <c r="A340" s="510">
        <v>1013</v>
      </c>
      <c r="B340" s="495" t="s">
        <v>3414</v>
      </c>
      <c r="C340" s="495" t="s">
        <v>3415</v>
      </c>
      <c r="D340" s="533" t="s">
        <v>3666</v>
      </c>
      <c r="E340" s="603">
        <v>7210.38</v>
      </c>
    </row>
    <row r="341" spans="1:5" ht="76.5">
      <c r="A341" s="510">
        <v>1014</v>
      </c>
      <c r="B341" s="495" t="s">
        <v>2486</v>
      </c>
      <c r="C341" s="495" t="s">
        <v>2454</v>
      </c>
      <c r="D341" s="533" t="s">
        <v>3666</v>
      </c>
      <c r="E341" s="603">
        <v>8448.24</v>
      </c>
    </row>
    <row r="342" spans="1:5" ht="76.5">
      <c r="A342" s="510">
        <v>1015</v>
      </c>
      <c r="B342" s="495" t="s">
        <v>2455</v>
      </c>
      <c r="C342" s="495" t="s">
        <v>2456</v>
      </c>
      <c r="D342" s="533" t="s">
        <v>3666</v>
      </c>
      <c r="E342" s="603">
        <v>8259.69</v>
      </c>
    </row>
    <row r="343" spans="1:5" ht="76.5">
      <c r="A343" s="510">
        <v>1016</v>
      </c>
      <c r="B343" s="495" t="s">
        <v>1223</v>
      </c>
      <c r="C343" s="495" t="s">
        <v>1224</v>
      </c>
      <c r="D343" s="533" t="s">
        <v>3666</v>
      </c>
      <c r="E343" s="603">
        <v>8164.17</v>
      </c>
    </row>
    <row r="344" spans="1:5" ht="63.75">
      <c r="A344" s="510">
        <v>1017</v>
      </c>
      <c r="B344" s="495" t="s">
        <v>1225</v>
      </c>
      <c r="C344" s="495" t="s">
        <v>1226</v>
      </c>
      <c r="D344" s="533" t="s">
        <v>3666</v>
      </c>
      <c r="E344" s="603">
        <v>3947.91</v>
      </c>
    </row>
    <row r="345" spans="1:5" ht="63.75">
      <c r="A345" s="510">
        <v>1018</v>
      </c>
      <c r="B345" s="495" t="s">
        <v>1227</v>
      </c>
      <c r="C345" s="495" t="s">
        <v>1228</v>
      </c>
      <c r="D345" s="533" t="s">
        <v>3666</v>
      </c>
      <c r="E345" s="603">
        <v>4016.95</v>
      </c>
    </row>
    <row r="346" spans="1:5" ht="63.75">
      <c r="A346" s="510">
        <v>1019</v>
      </c>
      <c r="B346" s="495" t="s">
        <v>754</v>
      </c>
      <c r="C346" s="495" t="s">
        <v>755</v>
      </c>
      <c r="D346" s="533" t="s">
        <v>3666</v>
      </c>
      <c r="E346" s="603">
        <v>4696.3100000000004</v>
      </c>
    </row>
    <row r="347" spans="1:5" ht="63.75">
      <c r="A347" s="510">
        <v>1020</v>
      </c>
      <c r="B347" s="495" t="s">
        <v>756</v>
      </c>
      <c r="C347" s="495" t="s">
        <v>757</v>
      </c>
      <c r="D347" s="533" t="s">
        <v>3666</v>
      </c>
      <c r="E347" s="603">
        <v>5930.59</v>
      </c>
    </row>
    <row r="348" spans="1:5" ht="38.25">
      <c r="A348" s="510">
        <v>1021</v>
      </c>
      <c r="B348" s="495" t="s">
        <v>758</v>
      </c>
      <c r="C348" s="495" t="s">
        <v>759</v>
      </c>
      <c r="D348" s="533" t="s">
        <v>3666</v>
      </c>
      <c r="E348" s="603">
        <v>7199.41</v>
      </c>
    </row>
    <row r="349" spans="1:5" ht="25.5">
      <c r="A349" s="510">
        <v>1022</v>
      </c>
      <c r="B349" s="495" t="s">
        <v>760</v>
      </c>
      <c r="C349" s="495" t="s">
        <v>761</v>
      </c>
      <c r="D349" s="533" t="s">
        <v>3666</v>
      </c>
      <c r="E349" s="603">
        <v>3511.8</v>
      </c>
    </row>
    <row r="350" spans="1:5" ht="38.25">
      <c r="A350" s="510">
        <v>1023</v>
      </c>
      <c r="B350" s="495" t="s">
        <v>762</v>
      </c>
      <c r="C350" s="495" t="s">
        <v>763</v>
      </c>
      <c r="D350" s="533" t="s">
        <v>3666</v>
      </c>
      <c r="E350" s="603">
        <v>4535.41</v>
      </c>
    </row>
    <row r="351" spans="1:5" ht="25.5">
      <c r="A351" s="510">
        <v>1024</v>
      </c>
      <c r="B351" s="495" t="s">
        <v>764</v>
      </c>
      <c r="C351" s="495" t="s">
        <v>1241</v>
      </c>
      <c r="D351" s="533" t="s">
        <v>3666</v>
      </c>
      <c r="E351" s="603">
        <v>2466.96</v>
      </c>
    </row>
    <row r="352" spans="1:5" ht="25.5">
      <c r="A352" s="510">
        <v>1025</v>
      </c>
      <c r="B352" s="495" t="s">
        <v>1242</v>
      </c>
      <c r="C352" s="495" t="s">
        <v>1242</v>
      </c>
      <c r="D352" s="533" t="s">
        <v>3666</v>
      </c>
      <c r="E352" s="603">
        <v>7436.55</v>
      </c>
    </row>
    <row r="353" spans="1:5" ht="25.5">
      <c r="A353" s="510">
        <v>1026</v>
      </c>
      <c r="B353" s="495" t="s">
        <v>1243</v>
      </c>
      <c r="C353" s="495" t="s">
        <v>1244</v>
      </c>
      <c r="D353" s="533" t="s">
        <v>3666</v>
      </c>
      <c r="E353" s="603">
        <v>3415.5950000000003</v>
      </c>
    </row>
    <row r="354" spans="1:5" ht="25.5">
      <c r="A354" s="510">
        <v>1027</v>
      </c>
      <c r="B354" s="495" t="s">
        <v>1245</v>
      </c>
      <c r="C354" s="495" t="s">
        <v>1246</v>
      </c>
      <c r="D354" s="533" t="s">
        <v>3666</v>
      </c>
      <c r="E354" s="603">
        <v>2307.4699999999998</v>
      </c>
    </row>
    <row r="355" spans="1:5" ht="25.5">
      <c r="A355" s="510">
        <v>1028</v>
      </c>
      <c r="B355" s="495" t="s">
        <v>1247</v>
      </c>
      <c r="C355" s="495" t="s">
        <v>1247</v>
      </c>
      <c r="D355" s="533" t="s">
        <v>3666</v>
      </c>
      <c r="E355" s="603">
        <v>2406.6950000000002</v>
      </c>
    </row>
    <row r="356" spans="1:5" ht="25.5">
      <c r="A356" s="510">
        <v>1029</v>
      </c>
      <c r="B356" s="495" t="s">
        <v>1248</v>
      </c>
      <c r="C356" s="495" t="s">
        <v>1248</v>
      </c>
      <c r="D356" s="533" t="s">
        <v>3666</v>
      </c>
      <c r="E356" s="603">
        <v>60609.78</v>
      </c>
    </row>
    <row r="357" spans="1:5">
      <c r="A357" s="510">
        <v>1030</v>
      </c>
      <c r="B357" s="495" t="s">
        <v>1249</v>
      </c>
      <c r="C357" s="495" t="s">
        <v>1250</v>
      </c>
      <c r="D357" s="533" t="s">
        <v>1251</v>
      </c>
      <c r="E357" s="603">
        <v>17300.565000000002</v>
      </c>
    </row>
    <row r="358" spans="1:5">
      <c r="A358" s="510">
        <v>1031</v>
      </c>
      <c r="B358" s="495" t="s">
        <v>1252</v>
      </c>
      <c r="C358" s="495" t="s">
        <v>1253</v>
      </c>
      <c r="D358" s="533" t="s">
        <v>1251</v>
      </c>
      <c r="E358" s="603">
        <v>21434.184999999998</v>
      </c>
    </row>
    <row r="359" spans="1:5">
      <c r="A359" s="510">
        <v>1032</v>
      </c>
      <c r="B359" s="495" t="s">
        <v>1404</v>
      </c>
      <c r="C359" s="495" t="s">
        <v>1405</v>
      </c>
      <c r="D359" s="533" t="s">
        <v>1251</v>
      </c>
      <c r="E359" s="603">
        <v>25069.59</v>
      </c>
    </row>
    <row r="360" spans="1:5">
      <c r="A360" s="510">
        <v>1033</v>
      </c>
      <c r="B360" s="495" t="s">
        <v>1406</v>
      </c>
      <c r="C360" s="495" t="s">
        <v>1407</v>
      </c>
      <c r="D360" s="533" t="s">
        <v>1251</v>
      </c>
      <c r="E360" s="603">
        <v>30127.435000000001</v>
      </c>
    </row>
    <row r="361" spans="1:5" ht="25.5">
      <c r="A361" s="510">
        <v>1034</v>
      </c>
      <c r="B361" s="495" t="s">
        <v>1408</v>
      </c>
      <c r="C361" s="495" t="s">
        <v>1409</v>
      </c>
      <c r="D361" s="533" t="s">
        <v>1251</v>
      </c>
      <c r="E361" s="603">
        <v>10603</v>
      </c>
    </row>
    <row r="362" spans="1:5" ht="25.5">
      <c r="A362" s="510">
        <v>1035</v>
      </c>
      <c r="B362" s="495" t="s">
        <v>376</v>
      </c>
      <c r="C362" s="495" t="s">
        <v>377</v>
      </c>
      <c r="D362" s="533" t="s">
        <v>1251</v>
      </c>
      <c r="E362" s="603">
        <v>6379.62</v>
      </c>
    </row>
    <row r="363" spans="1:5" ht="25.5">
      <c r="A363" s="510">
        <v>1036</v>
      </c>
      <c r="B363" s="495" t="s">
        <v>378</v>
      </c>
      <c r="C363" s="495" t="s">
        <v>379</v>
      </c>
      <c r="D363" s="533" t="s">
        <v>1251</v>
      </c>
      <c r="E363" s="603">
        <v>19394.75</v>
      </c>
    </row>
    <row r="364" spans="1:5">
      <c r="A364" s="510">
        <v>1037</v>
      </c>
      <c r="B364" s="495" t="s">
        <v>380</v>
      </c>
      <c r="C364" s="495" t="s">
        <v>381</v>
      </c>
      <c r="D364" s="533" t="s">
        <v>1251</v>
      </c>
      <c r="E364" s="603">
        <v>5583.06</v>
      </c>
    </row>
    <row r="365" spans="1:5">
      <c r="A365" s="510">
        <v>1038</v>
      </c>
      <c r="B365" s="495" t="s">
        <v>1410</v>
      </c>
      <c r="C365" s="495" t="s">
        <v>1411</v>
      </c>
      <c r="D365" s="533" t="s">
        <v>1251</v>
      </c>
      <c r="E365" s="603">
        <v>12998.91</v>
      </c>
    </row>
    <row r="366" spans="1:5" ht="25.5">
      <c r="A366" s="510">
        <v>1039</v>
      </c>
      <c r="B366" s="495" t="s">
        <v>1412</v>
      </c>
      <c r="C366" s="495" t="s">
        <v>1412</v>
      </c>
      <c r="D366" s="533" t="s">
        <v>1251</v>
      </c>
      <c r="E366" s="603">
        <v>28083.63</v>
      </c>
    </row>
    <row r="367" spans="1:5" ht="25.5">
      <c r="A367" s="510">
        <v>1040</v>
      </c>
      <c r="B367" s="495" t="s">
        <v>1870</v>
      </c>
      <c r="C367" s="495" t="s">
        <v>1871</v>
      </c>
      <c r="D367" s="533" t="s">
        <v>1251</v>
      </c>
      <c r="E367" s="603">
        <v>8232.56</v>
      </c>
    </row>
    <row r="368" spans="1:5" ht="25.5">
      <c r="A368" s="510">
        <v>1041</v>
      </c>
      <c r="B368" s="495" t="s">
        <v>1872</v>
      </c>
      <c r="C368" s="495" t="s">
        <v>1873</v>
      </c>
      <c r="D368" s="533" t="s">
        <v>1251</v>
      </c>
      <c r="E368" s="603">
        <v>11453.37</v>
      </c>
    </row>
    <row r="369" spans="1:5" ht="25.5">
      <c r="A369" s="510">
        <v>1042</v>
      </c>
      <c r="B369" s="495" t="s">
        <v>1874</v>
      </c>
      <c r="C369" s="495" t="s">
        <v>1874</v>
      </c>
      <c r="D369" s="533" t="s">
        <v>1251</v>
      </c>
      <c r="E369" s="603">
        <v>16248.895</v>
      </c>
    </row>
    <row r="370" spans="1:5" ht="25.5">
      <c r="A370" s="510">
        <v>1043</v>
      </c>
      <c r="B370" s="495" t="s">
        <v>1875</v>
      </c>
      <c r="C370" s="495" t="s">
        <v>1875</v>
      </c>
      <c r="D370" s="533" t="s">
        <v>1251</v>
      </c>
      <c r="E370" s="603">
        <v>25905.07</v>
      </c>
    </row>
    <row r="371" spans="1:5" ht="25.5">
      <c r="A371" s="510">
        <v>1044</v>
      </c>
      <c r="B371" s="495" t="s">
        <v>857</v>
      </c>
      <c r="C371" s="495" t="s">
        <v>858</v>
      </c>
      <c r="D371" s="533" t="s">
        <v>1251</v>
      </c>
      <c r="E371" s="603">
        <v>27467.75</v>
      </c>
    </row>
    <row r="372" spans="1:5" ht="25.5">
      <c r="A372" s="510">
        <v>1045</v>
      </c>
      <c r="B372" s="495" t="s">
        <v>859</v>
      </c>
      <c r="C372" s="495" t="s">
        <v>85</v>
      </c>
      <c r="D372" s="533" t="s">
        <v>1251</v>
      </c>
      <c r="E372" s="603">
        <v>33267.455000000002</v>
      </c>
    </row>
    <row r="373" spans="1:5" ht="38.25">
      <c r="A373" s="510">
        <v>1046</v>
      </c>
      <c r="B373" s="495" t="s">
        <v>86</v>
      </c>
      <c r="C373" s="495" t="s">
        <v>87</v>
      </c>
      <c r="D373" s="533" t="s">
        <v>1251</v>
      </c>
      <c r="E373" s="603">
        <v>861.98</v>
      </c>
    </row>
    <row r="374" spans="1:5" ht="38.25">
      <c r="A374" s="510">
        <v>1047</v>
      </c>
      <c r="B374" s="495" t="s">
        <v>88</v>
      </c>
      <c r="C374" s="495" t="s">
        <v>1881</v>
      </c>
      <c r="D374" s="533" t="s">
        <v>1251</v>
      </c>
      <c r="E374" s="603">
        <v>567.98500000000001</v>
      </c>
    </row>
    <row r="375" spans="1:5" ht="27" customHeight="1">
      <c r="A375" s="510">
        <v>1048</v>
      </c>
      <c r="B375" s="495" t="s">
        <v>1882</v>
      </c>
      <c r="C375" s="495" t="s">
        <v>1882</v>
      </c>
      <c r="D375" s="533" t="s">
        <v>1251</v>
      </c>
      <c r="E375" s="603">
        <v>409.68</v>
      </c>
    </row>
    <row r="376" spans="1:5" ht="25.5">
      <c r="A376" s="510">
        <v>1049</v>
      </c>
      <c r="B376" s="495" t="s">
        <v>1254</v>
      </c>
      <c r="C376" s="495" t="s">
        <v>1254</v>
      </c>
      <c r="D376" s="533" t="s">
        <v>1251</v>
      </c>
      <c r="E376" s="603">
        <v>3365.0750000000003</v>
      </c>
    </row>
    <row r="377" spans="1:5" ht="38.25">
      <c r="A377" s="510">
        <v>1050</v>
      </c>
      <c r="B377" s="495" t="s">
        <v>1255</v>
      </c>
      <c r="C377" s="495" t="s">
        <v>1256</v>
      </c>
      <c r="D377" s="533" t="s">
        <v>1251</v>
      </c>
      <c r="E377" s="603">
        <v>635.83000000000004</v>
      </c>
    </row>
    <row r="378" spans="1:5" ht="27" customHeight="1">
      <c r="A378" s="510">
        <v>1051</v>
      </c>
      <c r="B378" s="495" t="s">
        <v>1257</v>
      </c>
      <c r="C378" s="495" t="s">
        <v>1257</v>
      </c>
      <c r="D378" s="533" t="s">
        <v>1251</v>
      </c>
      <c r="E378" s="603">
        <v>350.17</v>
      </c>
    </row>
    <row r="379" spans="1:5" ht="38.25">
      <c r="A379" s="510">
        <v>1052</v>
      </c>
      <c r="B379" s="495" t="s">
        <v>2264</v>
      </c>
      <c r="C379" s="495" t="s">
        <v>2264</v>
      </c>
      <c r="D379" s="533" t="s">
        <v>1251</v>
      </c>
      <c r="E379" s="603">
        <v>1841.8422222222223</v>
      </c>
    </row>
    <row r="380" spans="1:5" ht="25.5">
      <c r="A380" s="510">
        <v>1053</v>
      </c>
      <c r="B380" s="495" t="s">
        <v>2265</v>
      </c>
      <c r="C380" s="495" t="s">
        <v>2266</v>
      </c>
      <c r="D380" s="533" t="s">
        <v>1251</v>
      </c>
      <c r="E380" s="603">
        <v>607.91</v>
      </c>
    </row>
    <row r="381" spans="1:5" ht="25.5">
      <c r="A381" s="510">
        <v>1054</v>
      </c>
      <c r="B381" s="495" t="s">
        <v>930</v>
      </c>
      <c r="C381" s="495" t="s">
        <v>931</v>
      </c>
      <c r="D381" s="533" t="s">
        <v>1251</v>
      </c>
      <c r="E381" s="603">
        <v>480.11</v>
      </c>
    </row>
    <row r="382" spans="1:5">
      <c r="A382" s="510">
        <v>1055</v>
      </c>
      <c r="B382" s="495" t="s">
        <v>932</v>
      </c>
      <c r="C382" s="495" t="s">
        <v>933</v>
      </c>
      <c r="D382" s="533" t="s">
        <v>1251</v>
      </c>
      <c r="E382" s="603">
        <v>672.93</v>
      </c>
    </row>
    <row r="383" spans="1:5" ht="25.5">
      <c r="A383" s="510">
        <v>1056</v>
      </c>
      <c r="B383" s="495" t="s">
        <v>934</v>
      </c>
      <c r="C383" s="495" t="s">
        <v>934</v>
      </c>
      <c r="D383" s="533" t="s">
        <v>1251</v>
      </c>
      <c r="E383" s="603">
        <v>1439.5322222222221</v>
      </c>
    </row>
    <row r="384" spans="1:5" ht="25.5">
      <c r="A384" s="510">
        <v>1057</v>
      </c>
      <c r="B384" s="495" t="s">
        <v>935</v>
      </c>
      <c r="C384" s="495" t="s">
        <v>936</v>
      </c>
      <c r="D384" s="533" t="s">
        <v>1251</v>
      </c>
      <c r="E384" s="603">
        <v>729.96</v>
      </c>
    </row>
    <row r="385" spans="1:5" ht="25.5">
      <c r="A385" s="510">
        <v>1058</v>
      </c>
      <c r="B385" s="495" t="s">
        <v>937</v>
      </c>
      <c r="C385" s="495" t="s">
        <v>938</v>
      </c>
      <c r="D385" s="533" t="s">
        <v>1251</v>
      </c>
      <c r="E385" s="603">
        <v>1711.9733333333331</v>
      </c>
    </row>
    <row r="386" spans="1:5" ht="25.5">
      <c r="A386" s="510">
        <v>1059</v>
      </c>
      <c r="B386" s="495" t="s">
        <v>939</v>
      </c>
      <c r="C386" s="495" t="s">
        <v>940</v>
      </c>
      <c r="D386" s="533" t="s">
        <v>1251</v>
      </c>
      <c r="E386" s="603">
        <v>610.92999999999995</v>
      </c>
    </row>
    <row r="387" spans="1:5" ht="38.25">
      <c r="A387" s="510">
        <v>1060</v>
      </c>
      <c r="B387" s="495" t="s">
        <v>941</v>
      </c>
      <c r="C387" s="495" t="s">
        <v>941</v>
      </c>
      <c r="D387" s="533" t="s">
        <v>1251</v>
      </c>
      <c r="E387" s="603">
        <v>2278.5333333333333</v>
      </c>
    </row>
    <row r="388" spans="1:5" ht="27.75" customHeight="1">
      <c r="A388" s="510">
        <v>1061</v>
      </c>
      <c r="B388" s="495" t="s">
        <v>942</v>
      </c>
      <c r="C388" s="495" t="s">
        <v>943</v>
      </c>
      <c r="D388" s="533" t="s">
        <v>1251</v>
      </c>
      <c r="E388" s="603">
        <v>1063.6300000000001</v>
      </c>
    </row>
    <row r="389" spans="1:5">
      <c r="A389" s="510">
        <v>1062</v>
      </c>
      <c r="B389" s="495" t="s">
        <v>944</v>
      </c>
      <c r="C389" s="495" t="s">
        <v>944</v>
      </c>
      <c r="D389" s="533" t="s">
        <v>1251</v>
      </c>
      <c r="E389" s="603">
        <v>1628.9949999999999</v>
      </c>
    </row>
    <row r="390" spans="1:5" ht="16.5" customHeight="1">
      <c r="A390" s="510">
        <v>1063</v>
      </c>
      <c r="B390" s="495" t="s">
        <v>945</v>
      </c>
      <c r="C390" s="495" t="s">
        <v>945</v>
      </c>
      <c r="D390" s="533" t="s">
        <v>1251</v>
      </c>
      <c r="E390" s="603">
        <v>599.42999999999995</v>
      </c>
    </row>
    <row r="391" spans="1:5" ht="38.25">
      <c r="A391" s="510">
        <v>1064</v>
      </c>
      <c r="B391" s="495" t="s">
        <v>1927</v>
      </c>
      <c r="C391" s="495" t="s">
        <v>1927</v>
      </c>
      <c r="D391" s="533" t="s">
        <v>1251</v>
      </c>
      <c r="E391" s="603">
        <v>3100.2033333333334</v>
      </c>
    </row>
    <row r="392" spans="1:5" ht="30.75" customHeight="1">
      <c r="A392" s="510">
        <v>1065</v>
      </c>
      <c r="B392" s="495" t="s">
        <v>860</v>
      </c>
      <c r="C392" s="495" t="s">
        <v>860</v>
      </c>
      <c r="D392" s="533" t="s">
        <v>1251</v>
      </c>
      <c r="E392" s="603">
        <v>4199.84</v>
      </c>
    </row>
    <row r="393" spans="1:5" ht="25.5">
      <c r="A393" s="510">
        <v>1066</v>
      </c>
      <c r="B393" s="495" t="s">
        <v>861</v>
      </c>
      <c r="C393" s="495" t="s">
        <v>861</v>
      </c>
      <c r="D393" s="533" t="s">
        <v>1251</v>
      </c>
      <c r="E393" s="603">
        <v>19085.11</v>
      </c>
    </row>
    <row r="394" spans="1:5">
      <c r="A394" s="510">
        <v>1067</v>
      </c>
      <c r="B394" s="495" t="s">
        <v>862</v>
      </c>
      <c r="C394" s="495" t="s">
        <v>862</v>
      </c>
      <c r="D394" s="533" t="s">
        <v>1251</v>
      </c>
      <c r="E394" s="603">
        <v>1029.431111111111</v>
      </c>
    </row>
    <row r="395" spans="1:5" ht="18" customHeight="1">
      <c r="A395" s="510">
        <v>1068</v>
      </c>
      <c r="B395" s="495" t="s">
        <v>863</v>
      </c>
      <c r="C395" s="495" t="s">
        <v>863</v>
      </c>
      <c r="D395" s="533" t="s">
        <v>1251</v>
      </c>
      <c r="E395" s="603">
        <v>755.26</v>
      </c>
    </row>
    <row r="396" spans="1:5" ht="18" customHeight="1">
      <c r="A396" s="510">
        <v>1069</v>
      </c>
      <c r="B396" s="495" t="s">
        <v>1865</v>
      </c>
      <c r="C396" s="495" t="s">
        <v>1865</v>
      </c>
      <c r="D396" s="533" t="s">
        <v>1251</v>
      </c>
      <c r="E396" s="603">
        <v>2612.0500000000002</v>
      </c>
    </row>
    <row r="397" spans="1:5" ht="18" customHeight="1">
      <c r="A397" s="510">
        <v>1070</v>
      </c>
      <c r="B397" s="495" t="s">
        <v>1866</v>
      </c>
      <c r="C397" s="495" t="s">
        <v>1866</v>
      </c>
      <c r="D397" s="533" t="s">
        <v>1251</v>
      </c>
      <c r="E397" s="603">
        <v>2519.21</v>
      </c>
    </row>
    <row r="398" spans="1:5">
      <c r="A398" s="510">
        <v>1071</v>
      </c>
      <c r="B398" s="495" t="s">
        <v>1867</v>
      </c>
      <c r="C398" s="495" t="s">
        <v>1867</v>
      </c>
      <c r="D398" s="533" t="s">
        <v>1251</v>
      </c>
      <c r="E398" s="603">
        <v>1052.82</v>
      </c>
    </row>
    <row r="399" spans="1:5">
      <c r="A399" s="510">
        <v>1072</v>
      </c>
      <c r="B399" s="495" t="s">
        <v>1868</v>
      </c>
      <c r="C399" s="495" t="s">
        <v>1868</v>
      </c>
      <c r="D399" s="533" t="s">
        <v>1251</v>
      </c>
      <c r="E399" s="603">
        <v>755.26</v>
      </c>
    </row>
    <row r="400" spans="1:5">
      <c r="A400" s="510">
        <v>1073</v>
      </c>
      <c r="B400" s="495" t="s">
        <v>1869</v>
      </c>
      <c r="C400" s="495" t="s">
        <v>1869</v>
      </c>
      <c r="D400" s="533" t="s">
        <v>1251</v>
      </c>
      <c r="E400" s="603">
        <v>1409.9</v>
      </c>
    </row>
    <row r="401" spans="1:5">
      <c r="A401" s="510">
        <v>1074</v>
      </c>
      <c r="B401" s="495" t="s">
        <v>2808</v>
      </c>
      <c r="C401" s="495" t="s">
        <v>1382</v>
      </c>
      <c r="D401" s="533" t="s">
        <v>1251</v>
      </c>
      <c r="E401" s="603">
        <v>755.26</v>
      </c>
    </row>
    <row r="402" spans="1:5" ht="18" customHeight="1">
      <c r="A402" s="510">
        <v>1075</v>
      </c>
      <c r="B402" s="495" t="s">
        <v>1383</v>
      </c>
      <c r="C402" s="495" t="s">
        <v>1384</v>
      </c>
      <c r="D402" s="533" t="s">
        <v>1251</v>
      </c>
      <c r="E402" s="603">
        <v>949.26499999999999</v>
      </c>
    </row>
    <row r="403" spans="1:5" ht="18" customHeight="1">
      <c r="A403" s="510">
        <f>A402+1</f>
        <v>1076</v>
      </c>
      <c r="B403" s="495" t="s">
        <v>1385</v>
      </c>
      <c r="C403" s="495" t="s">
        <v>1386</v>
      </c>
      <c r="D403" s="533" t="s">
        <v>1251</v>
      </c>
      <c r="E403" s="603">
        <v>921.89</v>
      </c>
    </row>
    <row r="404" spans="1:5" ht="18" customHeight="1">
      <c r="A404" s="510">
        <f t="shared" ref="A404:A474" si="6">A403+1</f>
        <v>1077</v>
      </c>
      <c r="B404" s="495" t="s">
        <v>1387</v>
      </c>
      <c r="C404" s="495" t="s">
        <v>1388</v>
      </c>
      <c r="D404" s="533" t="s">
        <v>1251</v>
      </c>
      <c r="E404" s="603">
        <v>1171.8499999999999</v>
      </c>
    </row>
    <row r="405" spans="1:5" ht="18" customHeight="1">
      <c r="A405" s="510">
        <f t="shared" si="6"/>
        <v>1078</v>
      </c>
      <c r="B405" s="495" t="s">
        <v>1389</v>
      </c>
      <c r="C405" s="495" t="s">
        <v>1390</v>
      </c>
      <c r="D405" s="533" t="s">
        <v>1251</v>
      </c>
      <c r="E405" s="603">
        <v>1950.91</v>
      </c>
    </row>
    <row r="406" spans="1:5" ht="18" customHeight="1">
      <c r="A406" s="510">
        <f t="shared" si="6"/>
        <v>1079</v>
      </c>
      <c r="B406" s="495" t="s">
        <v>1391</v>
      </c>
      <c r="C406" s="495" t="s">
        <v>1392</v>
      </c>
      <c r="D406" s="533" t="s">
        <v>1251</v>
      </c>
      <c r="E406" s="603">
        <v>2841.22</v>
      </c>
    </row>
    <row r="407" spans="1:5" ht="18" customHeight="1">
      <c r="A407" s="510">
        <f t="shared" si="6"/>
        <v>1080</v>
      </c>
      <c r="B407" s="495" t="s">
        <v>1393</v>
      </c>
      <c r="C407" s="495" t="s">
        <v>1394</v>
      </c>
      <c r="D407" s="533" t="s">
        <v>1251</v>
      </c>
      <c r="E407" s="603">
        <v>3616.17</v>
      </c>
    </row>
    <row r="408" spans="1:5" ht="18" customHeight="1">
      <c r="A408" s="510">
        <f t="shared" si="6"/>
        <v>1081</v>
      </c>
      <c r="B408" s="495" t="s">
        <v>1395</v>
      </c>
      <c r="C408" s="495" t="s">
        <v>1396</v>
      </c>
      <c r="D408" s="533" t="s">
        <v>1251</v>
      </c>
      <c r="E408" s="603">
        <v>5472.96</v>
      </c>
    </row>
    <row r="409" spans="1:5" ht="18" customHeight="1">
      <c r="A409" s="510">
        <f t="shared" si="6"/>
        <v>1082</v>
      </c>
      <c r="B409" s="495" t="s">
        <v>1397</v>
      </c>
      <c r="C409" s="495" t="s">
        <v>1398</v>
      </c>
      <c r="D409" s="533" t="s">
        <v>1251</v>
      </c>
      <c r="E409" s="603">
        <v>9609.0750000000007</v>
      </c>
    </row>
    <row r="410" spans="1:5" ht="18" customHeight="1">
      <c r="A410" s="510">
        <f t="shared" si="6"/>
        <v>1083</v>
      </c>
      <c r="B410" s="495" t="s">
        <v>1399</v>
      </c>
      <c r="C410" s="495" t="s">
        <v>1400</v>
      </c>
      <c r="D410" s="533" t="s">
        <v>1251</v>
      </c>
      <c r="E410" s="603">
        <v>13742.865000000002</v>
      </c>
    </row>
    <row r="411" spans="1:5" ht="18" customHeight="1">
      <c r="A411" s="510">
        <f t="shared" si="6"/>
        <v>1084</v>
      </c>
      <c r="B411" s="495" t="s">
        <v>1401</v>
      </c>
      <c r="C411" s="495" t="s">
        <v>1402</v>
      </c>
      <c r="D411" s="533" t="s">
        <v>1251</v>
      </c>
      <c r="E411" s="603">
        <v>24389.66</v>
      </c>
    </row>
    <row r="412" spans="1:5" ht="18" customHeight="1">
      <c r="A412" s="510">
        <f t="shared" si="6"/>
        <v>1085</v>
      </c>
      <c r="B412" s="495" t="s">
        <v>1403</v>
      </c>
      <c r="C412" s="495" t="s">
        <v>1369</v>
      </c>
      <c r="D412" s="533" t="s">
        <v>1251</v>
      </c>
      <c r="E412" s="603">
        <v>731.45</v>
      </c>
    </row>
    <row r="413" spans="1:5" ht="18" customHeight="1">
      <c r="A413" s="510">
        <f t="shared" si="6"/>
        <v>1086</v>
      </c>
      <c r="B413" s="495" t="s">
        <v>1370</v>
      </c>
      <c r="C413" s="495" t="s">
        <v>1371</v>
      </c>
      <c r="D413" s="533" t="s">
        <v>1251</v>
      </c>
      <c r="E413" s="603">
        <v>1165.3499999999999</v>
      </c>
    </row>
    <row r="414" spans="1:5" ht="18" customHeight="1">
      <c r="A414" s="510">
        <f t="shared" si="6"/>
        <v>1087</v>
      </c>
      <c r="B414" s="495" t="s">
        <v>1372</v>
      </c>
      <c r="C414" s="495" t="s">
        <v>1373</v>
      </c>
      <c r="D414" s="533" t="s">
        <v>1251</v>
      </c>
      <c r="E414" s="603">
        <v>1564.085</v>
      </c>
    </row>
    <row r="415" spans="1:5" ht="18" customHeight="1">
      <c r="A415" s="510">
        <f t="shared" si="6"/>
        <v>1088</v>
      </c>
      <c r="B415" s="495" t="s">
        <v>1374</v>
      </c>
      <c r="C415" s="495" t="s">
        <v>1375</v>
      </c>
      <c r="D415" s="533" t="s">
        <v>1251</v>
      </c>
      <c r="E415" s="603">
        <v>2284.1799999999998</v>
      </c>
    </row>
    <row r="416" spans="1:5" ht="18" customHeight="1">
      <c r="A416" s="510">
        <f t="shared" si="6"/>
        <v>1089</v>
      </c>
      <c r="B416" s="495" t="s">
        <v>1376</v>
      </c>
      <c r="C416" s="495" t="s">
        <v>1377</v>
      </c>
      <c r="D416" s="533" t="s">
        <v>1251</v>
      </c>
      <c r="E416" s="603">
        <v>4634.38</v>
      </c>
    </row>
    <row r="417" spans="1:5" ht="18" customHeight="1">
      <c r="A417" s="510">
        <f t="shared" si="6"/>
        <v>1090</v>
      </c>
      <c r="B417" s="495" t="s">
        <v>1378</v>
      </c>
      <c r="C417" s="495" t="s">
        <v>1379</v>
      </c>
      <c r="D417" s="533" t="s">
        <v>1251</v>
      </c>
      <c r="E417" s="603">
        <v>7708.25</v>
      </c>
    </row>
    <row r="418" spans="1:5" ht="18" customHeight="1">
      <c r="A418" s="510">
        <f t="shared" si="6"/>
        <v>1091</v>
      </c>
      <c r="B418" s="495" t="s">
        <v>1380</v>
      </c>
      <c r="C418" s="495" t="s">
        <v>1381</v>
      </c>
      <c r="D418" s="533" t="s">
        <v>1251</v>
      </c>
      <c r="E418" s="603">
        <v>10727.915000000001</v>
      </c>
    </row>
    <row r="419" spans="1:5" ht="25.5">
      <c r="A419" s="510">
        <f>A418+1</f>
        <v>1092</v>
      </c>
      <c r="B419" s="495" t="s">
        <v>339</v>
      </c>
      <c r="C419" s="495" t="s">
        <v>339</v>
      </c>
      <c r="D419" s="533" t="s">
        <v>1251</v>
      </c>
      <c r="E419" s="603">
        <v>19180.349444444444</v>
      </c>
    </row>
    <row r="420" spans="1:5">
      <c r="A420" s="510">
        <f>A419+1</f>
        <v>1093</v>
      </c>
      <c r="B420" s="495" t="s">
        <v>340</v>
      </c>
      <c r="C420" s="495" t="s">
        <v>703</v>
      </c>
      <c r="D420" s="533" t="s">
        <v>1251</v>
      </c>
      <c r="E420" s="603">
        <v>265.32710000000003</v>
      </c>
    </row>
    <row r="421" spans="1:5">
      <c r="A421" s="510">
        <f>A420+1</f>
        <v>1094</v>
      </c>
      <c r="B421" s="495" t="s">
        <v>704</v>
      </c>
      <c r="C421" s="495" t="s">
        <v>704</v>
      </c>
      <c r="D421" s="533" t="s">
        <v>1251</v>
      </c>
      <c r="E421" s="603">
        <v>52.174999999999997</v>
      </c>
    </row>
    <row r="422" spans="1:5">
      <c r="A422" s="510">
        <f>A421+1</f>
        <v>1095</v>
      </c>
      <c r="B422" s="495" t="s">
        <v>705</v>
      </c>
      <c r="C422" s="495" t="s">
        <v>706</v>
      </c>
      <c r="D422" s="533" t="s">
        <v>1251</v>
      </c>
      <c r="E422" s="603">
        <v>87.885000000000005</v>
      </c>
    </row>
    <row r="423" spans="1:5">
      <c r="A423" s="510">
        <f t="shared" si="6"/>
        <v>1096</v>
      </c>
      <c r="B423" s="495" t="s">
        <v>707</v>
      </c>
      <c r="C423" s="495" t="s">
        <v>708</v>
      </c>
      <c r="D423" s="533" t="s">
        <v>1251</v>
      </c>
      <c r="E423" s="603">
        <v>74.790000000000006</v>
      </c>
    </row>
    <row r="424" spans="1:5" ht="25.5">
      <c r="A424" s="510">
        <f t="shared" si="6"/>
        <v>1097</v>
      </c>
      <c r="B424" s="495" t="s">
        <v>709</v>
      </c>
      <c r="C424" s="495" t="s">
        <v>710</v>
      </c>
      <c r="D424" s="533" t="s">
        <v>3459</v>
      </c>
      <c r="E424" s="603">
        <v>2559.7997999999998</v>
      </c>
    </row>
    <row r="425" spans="1:5" ht="25.5">
      <c r="A425" s="510">
        <f t="shared" si="6"/>
        <v>1098</v>
      </c>
      <c r="B425" s="495" t="s">
        <v>1805</v>
      </c>
      <c r="C425" s="495" t="s">
        <v>1806</v>
      </c>
      <c r="D425" s="533" t="s">
        <v>3459</v>
      </c>
      <c r="E425" s="603">
        <v>1409.9008000000001</v>
      </c>
    </row>
    <row r="426" spans="1:5" ht="25.5">
      <c r="A426" s="510">
        <f t="shared" si="6"/>
        <v>1099</v>
      </c>
      <c r="B426" s="495" t="s">
        <v>1807</v>
      </c>
      <c r="C426" s="495" t="s">
        <v>1808</v>
      </c>
      <c r="D426" s="533" t="s">
        <v>3459</v>
      </c>
      <c r="E426" s="603">
        <v>1095.09265</v>
      </c>
    </row>
    <row r="427" spans="1:5" ht="25.5">
      <c r="A427" s="510">
        <f t="shared" si="6"/>
        <v>1100</v>
      </c>
      <c r="B427" s="495" t="s">
        <v>1809</v>
      </c>
      <c r="C427" s="495" t="s">
        <v>1810</v>
      </c>
      <c r="D427" s="533" t="s">
        <v>3459</v>
      </c>
      <c r="E427" s="603">
        <v>854.94069999999999</v>
      </c>
    </row>
    <row r="428" spans="1:5" ht="38.25">
      <c r="A428" s="510">
        <f t="shared" si="6"/>
        <v>1101</v>
      </c>
      <c r="B428" s="495" t="s">
        <v>1811</v>
      </c>
      <c r="C428" s="495" t="s">
        <v>1812</v>
      </c>
      <c r="D428" s="533" t="s">
        <v>3459</v>
      </c>
      <c r="E428" s="603">
        <v>310.37094999999999</v>
      </c>
    </row>
    <row r="429" spans="1:5" ht="38.25">
      <c r="A429" s="510">
        <f t="shared" si="6"/>
        <v>1102</v>
      </c>
      <c r="B429" s="495" t="s">
        <v>1815</v>
      </c>
      <c r="C429" s="495" t="s">
        <v>1816</v>
      </c>
      <c r="D429" s="533" t="s">
        <v>3459</v>
      </c>
      <c r="E429" s="603">
        <v>361.35</v>
      </c>
    </row>
    <row r="430" spans="1:5" ht="38.25">
      <c r="A430" s="510">
        <f t="shared" si="6"/>
        <v>1103</v>
      </c>
      <c r="B430" s="495" t="s">
        <v>1817</v>
      </c>
      <c r="C430" s="495" t="s">
        <v>1818</v>
      </c>
      <c r="D430" s="533" t="s">
        <v>3459</v>
      </c>
      <c r="E430" s="603">
        <v>514.79</v>
      </c>
    </row>
    <row r="431" spans="1:5" ht="38.25">
      <c r="A431" s="510">
        <f t="shared" si="6"/>
        <v>1104</v>
      </c>
      <c r="B431" s="495" t="s">
        <v>1819</v>
      </c>
      <c r="C431" s="495" t="s">
        <v>734</v>
      </c>
      <c r="D431" s="533" t="s">
        <v>3459</v>
      </c>
      <c r="E431" s="603">
        <v>625.20000000000005</v>
      </c>
    </row>
    <row r="432" spans="1:5" ht="38.25">
      <c r="A432" s="510">
        <f t="shared" si="6"/>
        <v>1105</v>
      </c>
      <c r="B432" s="495" t="s">
        <v>735</v>
      </c>
      <c r="C432" s="495" t="s">
        <v>736</v>
      </c>
      <c r="D432" s="533" t="s">
        <v>3459</v>
      </c>
      <c r="E432" s="603">
        <v>724.30499999999995</v>
      </c>
    </row>
    <row r="433" spans="1:5" ht="38.25">
      <c r="A433" s="510">
        <f t="shared" si="6"/>
        <v>1106</v>
      </c>
      <c r="B433" s="495" t="s">
        <v>737</v>
      </c>
      <c r="C433" s="495" t="s">
        <v>738</v>
      </c>
      <c r="D433" s="533" t="s">
        <v>3459</v>
      </c>
      <c r="E433" s="603">
        <v>962.74655000000007</v>
      </c>
    </row>
    <row r="434" spans="1:5" ht="38.25">
      <c r="A434" s="510">
        <f t="shared" si="6"/>
        <v>1107</v>
      </c>
      <c r="B434" s="495" t="s">
        <v>739</v>
      </c>
      <c r="C434" s="495" t="s">
        <v>740</v>
      </c>
      <c r="D434" s="533" t="s">
        <v>3459</v>
      </c>
      <c r="E434" s="603">
        <v>1429.2025000000001</v>
      </c>
    </row>
    <row r="435" spans="1:5" ht="25.5">
      <c r="A435" s="510">
        <f t="shared" si="6"/>
        <v>1108</v>
      </c>
      <c r="B435" s="495" t="s">
        <v>741</v>
      </c>
      <c r="C435" s="495" t="s">
        <v>742</v>
      </c>
      <c r="D435" s="533" t="s">
        <v>1251</v>
      </c>
      <c r="E435" s="603">
        <v>445.48265306122448</v>
      </c>
    </row>
    <row r="436" spans="1:5" ht="25.5">
      <c r="A436" s="510">
        <f t="shared" si="6"/>
        <v>1109</v>
      </c>
      <c r="B436" s="495" t="s">
        <v>743</v>
      </c>
      <c r="C436" s="495" t="s">
        <v>1813</v>
      </c>
      <c r="D436" s="533" t="s">
        <v>1251</v>
      </c>
      <c r="E436" s="603">
        <v>467.91265306122443</v>
      </c>
    </row>
    <row r="437" spans="1:5" ht="25.5">
      <c r="A437" s="510">
        <f t="shared" si="6"/>
        <v>1110</v>
      </c>
      <c r="B437" s="495" t="s">
        <v>3364</v>
      </c>
      <c r="C437" s="495" t="s">
        <v>3365</v>
      </c>
      <c r="D437" s="533" t="s">
        <v>1251</v>
      </c>
      <c r="E437" s="603">
        <v>640.56020408163261</v>
      </c>
    </row>
    <row r="438" spans="1:5" ht="25.5">
      <c r="A438" s="510">
        <f t="shared" si="6"/>
        <v>1111</v>
      </c>
      <c r="B438" s="495" t="s">
        <v>3366</v>
      </c>
      <c r="C438" s="495" t="s">
        <v>3367</v>
      </c>
      <c r="D438" s="533" t="s">
        <v>1251</v>
      </c>
      <c r="E438" s="603">
        <v>646.31020408163261</v>
      </c>
    </row>
    <row r="439" spans="1:5" ht="25.5">
      <c r="A439" s="510">
        <f t="shared" si="6"/>
        <v>1112</v>
      </c>
      <c r="B439" s="495" t="s">
        <v>3368</v>
      </c>
      <c r="C439" s="495" t="s">
        <v>2400</v>
      </c>
      <c r="D439" s="533" t="s">
        <v>3459</v>
      </c>
      <c r="E439" s="603">
        <v>145.19499999999999</v>
      </c>
    </row>
    <row r="440" spans="1:5" ht="25.5">
      <c r="A440" s="510">
        <f t="shared" si="6"/>
        <v>1113</v>
      </c>
      <c r="B440" s="495" t="s">
        <v>3369</v>
      </c>
      <c r="C440" s="495" t="s">
        <v>2401</v>
      </c>
      <c r="D440" s="533" t="s">
        <v>3459</v>
      </c>
      <c r="E440" s="603">
        <v>223.315</v>
      </c>
    </row>
    <row r="441" spans="1:5" ht="25.5">
      <c r="A441" s="510">
        <f t="shared" si="6"/>
        <v>1114</v>
      </c>
      <c r="B441" s="495" t="s">
        <v>3370</v>
      </c>
      <c r="C441" s="495" t="s">
        <v>2402</v>
      </c>
      <c r="D441" s="533" t="s">
        <v>3459</v>
      </c>
      <c r="E441" s="603">
        <v>419.78405000000004</v>
      </c>
    </row>
    <row r="442" spans="1:5" ht="25.5">
      <c r="A442" s="510">
        <f>A441+1</f>
        <v>1115</v>
      </c>
      <c r="B442" s="495" t="s">
        <v>749</v>
      </c>
      <c r="C442" s="495" t="s">
        <v>749</v>
      </c>
      <c r="D442" s="533" t="s">
        <v>1251</v>
      </c>
      <c r="E442" s="603">
        <v>14985.785</v>
      </c>
    </row>
    <row r="443" spans="1:5" ht="25.5">
      <c r="A443" s="510">
        <f>A442+1</f>
        <v>1116</v>
      </c>
      <c r="B443" s="495" t="s">
        <v>750</v>
      </c>
      <c r="C443" s="495" t="s">
        <v>751</v>
      </c>
      <c r="D443" s="533" t="s">
        <v>1251</v>
      </c>
      <c r="E443" s="603">
        <v>14545.394999999999</v>
      </c>
    </row>
    <row r="444" spans="1:5" ht="25.5">
      <c r="A444" s="510">
        <f t="shared" si="6"/>
        <v>1117</v>
      </c>
      <c r="B444" s="495" t="s">
        <v>752</v>
      </c>
      <c r="C444" s="495" t="s">
        <v>753</v>
      </c>
      <c r="D444" s="533" t="s">
        <v>1251</v>
      </c>
      <c r="E444" s="603">
        <v>16611.95</v>
      </c>
    </row>
    <row r="445" spans="1:5" ht="25.5">
      <c r="A445" s="510">
        <f t="shared" si="6"/>
        <v>1118</v>
      </c>
      <c r="B445" s="495" t="s">
        <v>1814</v>
      </c>
      <c r="C445" s="495" t="s">
        <v>746</v>
      </c>
      <c r="D445" s="533" t="s">
        <v>1251</v>
      </c>
      <c r="E445" s="603">
        <v>19591.43</v>
      </c>
    </row>
    <row r="446" spans="1:5" ht="25.5">
      <c r="A446" s="510">
        <f t="shared" si="6"/>
        <v>1119</v>
      </c>
      <c r="B446" s="495" t="s">
        <v>913</v>
      </c>
      <c r="C446" s="495" t="s">
        <v>914</v>
      </c>
      <c r="D446" s="533" t="s">
        <v>1251</v>
      </c>
      <c r="E446" s="603">
        <v>12889.77</v>
      </c>
    </row>
    <row r="447" spans="1:5" ht="25.5">
      <c r="A447" s="510">
        <f t="shared" si="6"/>
        <v>1120</v>
      </c>
      <c r="B447" s="495" t="s">
        <v>915</v>
      </c>
      <c r="C447" s="495" t="s">
        <v>916</v>
      </c>
      <c r="D447" s="533" t="s">
        <v>1251</v>
      </c>
      <c r="E447" s="603">
        <v>4995.37</v>
      </c>
    </row>
    <row r="448" spans="1:5" ht="18.75" customHeight="1">
      <c r="A448" s="510">
        <f t="shared" si="6"/>
        <v>1121</v>
      </c>
      <c r="B448" s="495" t="s">
        <v>917</v>
      </c>
      <c r="C448" s="495" t="s">
        <v>918</v>
      </c>
      <c r="D448" s="533" t="s">
        <v>1251</v>
      </c>
      <c r="E448" s="603">
        <v>6332.94</v>
      </c>
    </row>
    <row r="449" spans="1:5" ht="25.5">
      <c r="A449" s="510">
        <f>A448+1</f>
        <v>1122</v>
      </c>
      <c r="B449" s="495" t="s">
        <v>1430</v>
      </c>
      <c r="C449" s="495" t="s">
        <v>1430</v>
      </c>
      <c r="D449" s="533" t="s">
        <v>1251</v>
      </c>
      <c r="E449" s="603">
        <v>1764.3883333333333</v>
      </c>
    </row>
    <row r="450" spans="1:5" ht="25.5">
      <c r="A450" s="510">
        <f>A449+1</f>
        <v>1123</v>
      </c>
      <c r="B450" s="495" t="s">
        <v>1431</v>
      </c>
      <c r="C450" s="495" t="s">
        <v>1431</v>
      </c>
      <c r="D450" s="533" t="s">
        <v>3666</v>
      </c>
      <c r="E450" s="603">
        <v>25466.75</v>
      </c>
    </row>
    <row r="451" spans="1:5">
      <c r="A451" s="510">
        <f>A450+1</f>
        <v>1124</v>
      </c>
      <c r="B451" s="495" t="s">
        <v>1432</v>
      </c>
      <c r="C451" s="495" t="s">
        <v>1433</v>
      </c>
      <c r="D451" s="533" t="s">
        <v>1251</v>
      </c>
      <c r="E451" s="603">
        <v>2593.15</v>
      </c>
    </row>
    <row r="452" spans="1:5" ht="25.5">
      <c r="A452" s="510">
        <f t="shared" si="6"/>
        <v>1125</v>
      </c>
      <c r="B452" s="495" t="s">
        <v>1434</v>
      </c>
      <c r="C452" s="495" t="s">
        <v>1435</v>
      </c>
      <c r="D452" s="533" t="s">
        <v>1251</v>
      </c>
      <c r="E452" s="603">
        <v>1908.71</v>
      </c>
    </row>
    <row r="453" spans="1:5" ht="15" customHeight="1">
      <c r="A453" s="510">
        <f t="shared" si="6"/>
        <v>1126</v>
      </c>
      <c r="B453" s="495" t="s">
        <v>1436</v>
      </c>
      <c r="C453" s="495" t="s">
        <v>1437</v>
      </c>
      <c r="D453" s="533" t="s">
        <v>1251</v>
      </c>
      <c r="E453" s="603">
        <v>2741.88</v>
      </c>
    </row>
    <row r="454" spans="1:5" ht="14.25" customHeight="1">
      <c r="A454" s="510">
        <f t="shared" si="6"/>
        <v>1127</v>
      </c>
      <c r="B454" s="495" t="s">
        <v>1344</v>
      </c>
      <c r="C454" s="495" t="s">
        <v>1345</v>
      </c>
      <c r="D454" s="533" t="s">
        <v>1251</v>
      </c>
      <c r="E454" s="603">
        <v>1658.615</v>
      </c>
    </row>
    <row r="455" spans="1:5">
      <c r="A455" s="510">
        <f>A454+1</f>
        <v>1128</v>
      </c>
      <c r="B455" s="495" t="s">
        <v>1346</v>
      </c>
      <c r="C455" s="495" t="s">
        <v>1346</v>
      </c>
      <c r="D455" s="533" t="s">
        <v>1251</v>
      </c>
      <c r="E455" s="603">
        <v>1641.221111111111</v>
      </c>
    </row>
    <row r="456" spans="1:5">
      <c r="A456" s="510">
        <f>A455+1</f>
        <v>1129</v>
      </c>
      <c r="B456" s="495" t="s">
        <v>1347</v>
      </c>
      <c r="C456" s="495" t="s">
        <v>1347</v>
      </c>
      <c r="D456" s="533" t="s">
        <v>1251</v>
      </c>
      <c r="E456" s="603">
        <v>1984.0111111111109</v>
      </c>
    </row>
    <row r="457" spans="1:5">
      <c r="A457" s="510">
        <f>A456+1</f>
        <v>1130</v>
      </c>
      <c r="B457" s="495" t="s">
        <v>1348</v>
      </c>
      <c r="C457" s="495" t="s">
        <v>1349</v>
      </c>
      <c r="D457" s="533" t="s">
        <v>1251</v>
      </c>
      <c r="E457" s="603">
        <v>4177</v>
      </c>
    </row>
    <row r="458" spans="1:5">
      <c r="A458" s="510">
        <f t="shared" si="6"/>
        <v>1131</v>
      </c>
      <c r="B458" s="495" t="s">
        <v>1350</v>
      </c>
      <c r="C458" s="495" t="s">
        <v>1351</v>
      </c>
      <c r="D458" s="533" t="s">
        <v>3666</v>
      </c>
      <c r="E458" s="603">
        <v>4506.7049999999999</v>
      </c>
    </row>
    <row r="459" spans="1:5">
      <c r="A459" s="510">
        <f t="shared" si="6"/>
        <v>1132</v>
      </c>
      <c r="B459" s="495" t="s">
        <v>1352</v>
      </c>
      <c r="C459" s="495" t="s">
        <v>1353</v>
      </c>
      <c r="D459" s="533" t="s">
        <v>3666</v>
      </c>
      <c r="E459" s="603">
        <v>34720.21</v>
      </c>
    </row>
    <row r="460" spans="1:5">
      <c r="A460" s="510">
        <f t="shared" si="6"/>
        <v>1133</v>
      </c>
      <c r="B460" s="495" t="s">
        <v>1354</v>
      </c>
      <c r="C460" s="495" t="s">
        <v>1355</v>
      </c>
      <c r="D460" s="533" t="s">
        <v>3666</v>
      </c>
      <c r="E460" s="603">
        <v>488784.5</v>
      </c>
    </row>
    <row r="461" spans="1:5">
      <c r="A461" s="510">
        <f t="shared" si="6"/>
        <v>1134</v>
      </c>
      <c r="B461" s="495" t="s">
        <v>1356</v>
      </c>
      <c r="C461" s="495" t="s">
        <v>1357</v>
      </c>
      <c r="D461" s="533" t="s">
        <v>3666</v>
      </c>
      <c r="E461" s="603">
        <v>25402.92</v>
      </c>
    </row>
    <row r="462" spans="1:5">
      <c r="A462" s="510">
        <f>A461+1</f>
        <v>1135</v>
      </c>
      <c r="B462" s="495" t="s">
        <v>1358</v>
      </c>
      <c r="C462" s="495" t="s">
        <v>1358</v>
      </c>
      <c r="D462" s="533" t="s">
        <v>3666</v>
      </c>
      <c r="E462" s="603">
        <v>1059.0522222222221</v>
      </c>
    </row>
    <row r="463" spans="1:5">
      <c r="A463" s="510">
        <f>A462+1</f>
        <v>1136</v>
      </c>
      <c r="B463" s="495" t="s">
        <v>1359</v>
      </c>
      <c r="C463" s="495" t="s">
        <v>1359</v>
      </c>
      <c r="D463" s="533" t="s">
        <v>3666</v>
      </c>
      <c r="E463" s="603">
        <v>5275.3072222222227</v>
      </c>
    </row>
    <row r="464" spans="1:5">
      <c r="A464" s="510">
        <f>A463+1</f>
        <v>1137</v>
      </c>
      <c r="B464" s="495" t="s">
        <v>1360</v>
      </c>
      <c r="C464" s="495" t="s">
        <v>919</v>
      </c>
      <c r="D464" s="533" t="s">
        <v>3666</v>
      </c>
      <c r="E464" s="603">
        <v>20938.285000000003</v>
      </c>
    </row>
    <row r="465" spans="1:5" ht="25.5">
      <c r="A465" s="510">
        <f>A464+1</f>
        <v>1138</v>
      </c>
      <c r="B465" s="495" t="s">
        <v>920</v>
      </c>
      <c r="C465" s="495" t="s">
        <v>921</v>
      </c>
      <c r="D465" s="533" t="s">
        <v>3666</v>
      </c>
      <c r="E465" s="603">
        <v>5261.67</v>
      </c>
    </row>
    <row r="466" spans="1:5" ht="25.5">
      <c r="A466" s="510">
        <f t="shared" si="6"/>
        <v>1139</v>
      </c>
      <c r="B466" s="495" t="s">
        <v>922</v>
      </c>
      <c r="C466" s="495" t="s">
        <v>923</v>
      </c>
      <c r="D466" s="533" t="s">
        <v>3666</v>
      </c>
      <c r="E466" s="603">
        <v>9614.7099999999991</v>
      </c>
    </row>
    <row r="467" spans="1:5">
      <c r="A467" s="510">
        <f t="shared" si="6"/>
        <v>1140</v>
      </c>
      <c r="B467" s="495" t="s">
        <v>1916</v>
      </c>
      <c r="C467" s="495" t="s">
        <v>1917</v>
      </c>
      <c r="D467" s="533" t="s">
        <v>1251</v>
      </c>
      <c r="E467" s="603">
        <v>1233.5150000000001</v>
      </c>
    </row>
    <row r="468" spans="1:5">
      <c r="A468" s="510">
        <f>A467+1</f>
        <v>1141</v>
      </c>
      <c r="B468" s="495" t="s">
        <v>1918</v>
      </c>
      <c r="C468" s="495" t="s">
        <v>1918</v>
      </c>
      <c r="D468" s="533" t="s">
        <v>1251</v>
      </c>
      <c r="E468" s="603">
        <v>7778.1511111111113</v>
      </c>
    </row>
    <row r="469" spans="1:5">
      <c r="A469" s="510">
        <f>A468+1</f>
        <v>1142</v>
      </c>
      <c r="B469" s="495" t="s">
        <v>1919</v>
      </c>
      <c r="C469" s="495" t="s">
        <v>1920</v>
      </c>
      <c r="D469" s="533" t="s">
        <v>3459</v>
      </c>
      <c r="E469" s="603">
        <v>215.25905</v>
      </c>
    </row>
    <row r="470" spans="1:5" ht="14.25">
      <c r="A470" s="510">
        <f>A469+1</f>
        <v>1143</v>
      </c>
      <c r="B470" s="495" t="s">
        <v>1921</v>
      </c>
      <c r="C470" s="495" t="s">
        <v>2403</v>
      </c>
      <c r="D470" s="533" t="s">
        <v>3459</v>
      </c>
      <c r="E470" s="603">
        <v>585.88734999999997</v>
      </c>
    </row>
    <row r="471" spans="1:5" ht="14.25">
      <c r="A471" s="510">
        <f t="shared" si="6"/>
        <v>1144</v>
      </c>
      <c r="B471" s="495" t="s">
        <v>1922</v>
      </c>
      <c r="C471" s="495" t="s">
        <v>2404</v>
      </c>
      <c r="D471" s="533" t="s">
        <v>3459</v>
      </c>
      <c r="E471" s="603">
        <v>749.78719999999987</v>
      </c>
    </row>
    <row r="472" spans="1:5" ht="14.25">
      <c r="A472" s="510">
        <f t="shared" si="6"/>
        <v>1145</v>
      </c>
      <c r="B472" s="495" t="s">
        <v>2854</v>
      </c>
      <c r="C472" s="495" t="s">
        <v>2405</v>
      </c>
      <c r="D472" s="533" t="s">
        <v>3459</v>
      </c>
      <c r="E472" s="603">
        <v>943.69090000000006</v>
      </c>
    </row>
    <row r="473" spans="1:5" ht="14.25">
      <c r="A473" s="510">
        <f t="shared" si="6"/>
        <v>1146</v>
      </c>
      <c r="B473" s="495" t="s">
        <v>2855</v>
      </c>
      <c r="C473" s="495" t="s">
        <v>2406</v>
      </c>
      <c r="D473" s="533" t="s">
        <v>3459</v>
      </c>
      <c r="E473" s="603">
        <v>1102.49</v>
      </c>
    </row>
    <row r="474" spans="1:5" ht="14.25">
      <c r="A474" s="510">
        <f t="shared" si="6"/>
        <v>1147</v>
      </c>
      <c r="B474" s="495" t="s">
        <v>2856</v>
      </c>
      <c r="C474" s="495" t="s">
        <v>2407</v>
      </c>
      <c r="D474" s="533" t="s">
        <v>3459</v>
      </c>
      <c r="E474" s="603">
        <v>1665.52745</v>
      </c>
    </row>
    <row r="475" spans="1:5" ht="14.25">
      <c r="A475" s="510">
        <f t="shared" ref="A475:A538" si="7">A474+1</f>
        <v>1148</v>
      </c>
      <c r="B475" s="495" t="s">
        <v>2857</v>
      </c>
      <c r="C475" s="495" t="s">
        <v>2408</v>
      </c>
      <c r="D475" s="533" t="s">
        <v>3459</v>
      </c>
      <c r="E475" s="603">
        <v>1949.3552500000001</v>
      </c>
    </row>
    <row r="476" spans="1:5">
      <c r="A476" s="510">
        <f t="shared" si="7"/>
        <v>1149</v>
      </c>
      <c r="B476" s="535" t="s">
        <v>2858</v>
      </c>
      <c r="C476" s="535" t="s">
        <v>2859</v>
      </c>
      <c r="D476" s="533" t="s">
        <v>1251</v>
      </c>
      <c r="E476" s="603">
        <v>6372.61</v>
      </c>
    </row>
    <row r="477" spans="1:5">
      <c r="A477" s="510">
        <f t="shared" si="7"/>
        <v>1150</v>
      </c>
      <c r="B477" s="535" t="s">
        <v>2860</v>
      </c>
      <c r="C477" s="535" t="s">
        <v>2861</v>
      </c>
      <c r="D477" s="533" t="s">
        <v>3666</v>
      </c>
      <c r="E477" s="603">
        <v>15983.525000000001</v>
      </c>
    </row>
    <row r="478" spans="1:5" ht="25.5">
      <c r="A478" s="510">
        <f t="shared" si="7"/>
        <v>1151</v>
      </c>
      <c r="B478" s="495" t="s">
        <v>2862</v>
      </c>
      <c r="C478" s="495" t="s">
        <v>2862</v>
      </c>
      <c r="D478" s="533" t="s">
        <v>3459</v>
      </c>
      <c r="E478" s="603">
        <v>141.09</v>
      </c>
    </row>
    <row r="479" spans="1:5" ht="25.5">
      <c r="A479" s="510">
        <f t="shared" si="7"/>
        <v>1152</v>
      </c>
      <c r="B479" s="495" t="s">
        <v>2863</v>
      </c>
      <c r="C479" s="495" t="s">
        <v>2863</v>
      </c>
      <c r="D479" s="533" t="s">
        <v>3459</v>
      </c>
      <c r="E479" s="603">
        <v>191.08</v>
      </c>
    </row>
    <row r="480" spans="1:5" ht="25.5">
      <c r="A480" s="510">
        <f t="shared" si="7"/>
        <v>1153</v>
      </c>
      <c r="B480" s="495" t="s">
        <v>2864</v>
      </c>
      <c r="C480" s="495" t="s">
        <v>2864</v>
      </c>
      <c r="D480" s="533" t="s">
        <v>3459</v>
      </c>
      <c r="E480" s="603">
        <v>229.17</v>
      </c>
    </row>
    <row r="481" spans="1:5" ht="38.25">
      <c r="A481" s="510">
        <f t="shared" si="7"/>
        <v>1154</v>
      </c>
      <c r="B481" s="495" t="s">
        <v>2865</v>
      </c>
      <c r="C481" s="495" t="s">
        <v>2866</v>
      </c>
      <c r="D481" s="533" t="s">
        <v>3459</v>
      </c>
      <c r="E481" s="603">
        <v>291.23500000000001</v>
      </c>
    </row>
    <row r="482" spans="1:5" ht="38.25">
      <c r="A482" s="510">
        <f t="shared" si="7"/>
        <v>1155</v>
      </c>
      <c r="B482" s="495" t="s">
        <v>2867</v>
      </c>
      <c r="C482" s="495" t="s">
        <v>2868</v>
      </c>
      <c r="D482" s="533" t="s">
        <v>3459</v>
      </c>
      <c r="E482" s="603">
        <v>359.08</v>
      </c>
    </row>
    <row r="483" spans="1:5" ht="38.25">
      <c r="A483" s="510">
        <f t="shared" si="7"/>
        <v>1156</v>
      </c>
      <c r="B483" s="495" t="s">
        <v>2869</v>
      </c>
      <c r="C483" s="495" t="s">
        <v>2870</v>
      </c>
      <c r="D483" s="533" t="s">
        <v>3459</v>
      </c>
      <c r="E483" s="603">
        <v>438.89</v>
      </c>
    </row>
    <row r="484" spans="1:5" ht="38.25">
      <c r="A484" s="510">
        <f t="shared" si="7"/>
        <v>1157</v>
      </c>
      <c r="B484" s="495" t="s">
        <v>2409</v>
      </c>
      <c r="C484" s="495" t="s">
        <v>2868</v>
      </c>
      <c r="D484" s="533" t="s">
        <v>3459</v>
      </c>
      <c r="E484" s="603">
        <v>494.83499999999998</v>
      </c>
    </row>
    <row r="485" spans="1:5" ht="38.25">
      <c r="A485" s="510">
        <f t="shared" si="7"/>
        <v>1158</v>
      </c>
      <c r="B485" s="495" t="s">
        <v>2410</v>
      </c>
      <c r="C485" s="495" t="s">
        <v>2411</v>
      </c>
      <c r="D485" s="533" t="s">
        <v>3459</v>
      </c>
      <c r="E485" s="603">
        <v>597.19500000000005</v>
      </c>
    </row>
    <row r="486" spans="1:5" ht="38.25">
      <c r="A486" s="510">
        <f t="shared" si="7"/>
        <v>1159</v>
      </c>
      <c r="B486" s="495" t="s">
        <v>2412</v>
      </c>
      <c r="C486" s="495" t="s">
        <v>1977</v>
      </c>
      <c r="D486" s="533" t="s">
        <v>3459</v>
      </c>
      <c r="E486" s="603">
        <v>805.49</v>
      </c>
    </row>
    <row r="487" spans="1:5" ht="25.5">
      <c r="A487" s="510">
        <f t="shared" si="7"/>
        <v>1160</v>
      </c>
      <c r="B487" s="495" t="s">
        <v>1978</v>
      </c>
      <c r="C487" s="495" t="s">
        <v>1978</v>
      </c>
      <c r="D487" s="533" t="s">
        <v>1979</v>
      </c>
      <c r="E487" s="603">
        <v>1068.2950000000001</v>
      </c>
    </row>
    <row r="488" spans="1:5" ht="25.5">
      <c r="A488" s="510">
        <f t="shared" si="7"/>
        <v>1161</v>
      </c>
      <c r="B488" s="495" t="s">
        <v>1980</v>
      </c>
      <c r="C488" s="495" t="s">
        <v>1980</v>
      </c>
      <c r="D488" s="533" t="s">
        <v>1979</v>
      </c>
      <c r="E488" s="603">
        <v>1292.0650000000001</v>
      </c>
    </row>
    <row r="489" spans="1:5" ht="25.5">
      <c r="A489" s="510">
        <f t="shared" si="7"/>
        <v>1162</v>
      </c>
      <c r="B489" s="495" t="s">
        <v>1981</v>
      </c>
      <c r="C489" s="495" t="s">
        <v>1981</v>
      </c>
      <c r="D489" s="533" t="s">
        <v>1979</v>
      </c>
      <c r="E489" s="603">
        <v>1471.79</v>
      </c>
    </row>
    <row r="490" spans="1:5" ht="25.5">
      <c r="A490" s="510">
        <f t="shared" si="7"/>
        <v>1163</v>
      </c>
      <c r="B490" s="495" t="s">
        <v>1982</v>
      </c>
      <c r="C490" s="495" t="s">
        <v>1982</v>
      </c>
      <c r="D490" s="533" t="s">
        <v>1979</v>
      </c>
      <c r="E490" s="603">
        <v>2959.6</v>
      </c>
    </row>
    <row r="491" spans="1:5" ht="25.5">
      <c r="A491" s="510">
        <f t="shared" si="7"/>
        <v>1164</v>
      </c>
      <c r="B491" s="495" t="s">
        <v>1983</v>
      </c>
      <c r="C491" s="495" t="s">
        <v>1983</v>
      </c>
      <c r="D491" s="533" t="s">
        <v>1979</v>
      </c>
      <c r="E491" s="603">
        <v>3754.69</v>
      </c>
    </row>
    <row r="492" spans="1:5" ht="25.5">
      <c r="A492" s="510">
        <f t="shared" si="7"/>
        <v>1165</v>
      </c>
      <c r="B492" s="495" t="s">
        <v>1984</v>
      </c>
      <c r="C492" s="495" t="s">
        <v>1984</v>
      </c>
      <c r="D492" s="533" t="s">
        <v>1979</v>
      </c>
      <c r="E492" s="603">
        <v>4817.585</v>
      </c>
    </row>
    <row r="493" spans="1:5" ht="38.25">
      <c r="A493" s="510">
        <f t="shared" si="7"/>
        <v>1166</v>
      </c>
      <c r="B493" s="495" t="s">
        <v>1985</v>
      </c>
      <c r="C493" s="495" t="s">
        <v>1986</v>
      </c>
      <c r="D493" s="533" t="s">
        <v>3459</v>
      </c>
      <c r="E493" s="603">
        <v>242.04</v>
      </c>
    </row>
    <row r="494" spans="1:5" ht="38.25">
      <c r="A494" s="510">
        <f t="shared" si="7"/>
        <v>1167</v>
      </c>
      <c r="B494" s="495" t="s">
        <v>1987</v>
      </c>
      <c r="C494" s="495" t="s">
        <v>1988</v>
      </c>
      <c r="D494" s="533" t="s">
        <v>3459</v>
      </c>
      <c r="E494" s="603">
        <v>262.26499999999999</v>
      </c>
    </row>
    <row r="495" spans="1:5" ht="38.25">
      <c r="A495" s="510">
        <f t="shared" si="7"/>
        <v>1168</v>
      </c>
      <c r="B495" s="495" t="s">
        <v>1989</v>
      </c>
      <c r="C495" s="495" t="s">
        <v>1990</v>
      </c>
      <c r="D495" s="533" t="s">
        <v>3459</v>
      </c>
      <c r="E495" s="603">
        <v>328.92500000000001</v>
      </c>
    </row>
    <row r="496" spans="1:5" ht="38.25">
      <c r="A496" s="510">
        <f t="shared" si="7"/>
        <v>1169</v>
      </c>
      <c r="B496" s="495" t="s">
        <v>1991</v>
      </c>
      <c r="C496" s="495" t="s">
        <v>1992</v>
      </c>
      <c r="D496" s="533" t="s">
        <v>3459</v>
      </c>
      <c r="E496" s="603">
        <v>439.62</v>
      </c>
    </row>
    <row r="497" spans="1:5" ht="38.25">
      <c r="A497" s="510">
        <f t="shared" si="7"/>
        <v>1170</v>
      </c>
      <c r="B497" s="495" t="s">
        <v>1993</v>
      </c>
      <c r="C497" s="495" t="s">
        <v>1994</v>
      </c>
      <c r="D497" s="533" t="s">
        <v>3459</v>
      </c>
      <c r="E497" s="603">
        <v>578.875</v>
      </c>
    </row>
    <row r="498" spans="1:5" ht="38.25">
      <c r="A498" s="510">
        <f t="shared" si="7"/>
        <v>1171</v>
      </c>
      <c r="B498" s="495" t="s">
        <v>1995</v>
      </c>
      <c r="C498" s="495" t="s">
        <v>1996</v>
      </c>
      <c r="D498" s="533" t="s">
        <v>3459</v>
      </c>
      <c r="E498" s="603">
        <v>906.2</v>
      </c>
    </row>
    <row r="499" spans="1:5" ht="39.75">
      <c r="A499" s="510">
        <f t="shared" si="7"/>
        <v>1172</v>
      </c>
      <c r="B499" s="535" t="s">
        <v>2041</v>
      </c>
      <c r="C499" s="535" t="s">
        <v>564</v>
      </c>
      <c r="D499" s="533" t="s">
        <v>3459</v>
      </c>
      <c r="E499" s="603">
        <v>721.19892812500007</v>
      </c>
    </row>
    <row r="500" spans="1:5" ht="39.75">
      <c r="A500" s="510">
        <f t="shared" si="7"/>
        <v>1173</v>
      </c>
      <c r="B500" s="535" t="s">
        <v>565</v>
      </c>
      <c r="C500" s="535" t="s">
        <v>2045</v>
      </c>
      <c r="D500" s="533" t="s">
        <v>3459</v>
      </c>
      <c r="E500" s="603">
        <v>945.59610750000002</v>
      </c>
    </row>
    <row r="501" spans="1:5" ht="39.75">
      <c r="A501" s="510">
        <f t="shared" si="7"/>
        <v>1174</v>
      </c>
      <c r="B501" s="535" t="s">
        <v>2046</v>
      </c>
      <c r="C501" s="535" t="s">
        <v>2047</v>
      </c>
      <c r="D501" s="533" t="s">
        <v>3459</v>
      </c>
      <c r="E501" s="603">
        <v>1506.1100456250001</v>
      </c>
    </row>
    <row r="502" spans="1:5" ht="39.75">
      <c r="A502" s="510">
        <f t="shared" si="7"/>
        <v>1175</v>
      </c>
      <c r="B502" s="535" t="s">
        <v>2487</v>
      </c>
      <c r="C502" s="535" t="s">
        <v>2048</v>
      </c>
      <c r="D502" s="533" t="s">
        <v>3459</v>
      </c>
      <c r="E502" s="603">
        <v>1986.4503581250001</v>
      </c>
    </row>
    <row r="503" spans="1:5" ht="39.75">
      <c r="A503" s="510">
        <f t="shared" si="7"/>
        <v>1176</v>
      </c>
      <c r="B503" s="535" t="s">
        <v>2064</v>
      </c>
      <c r="C503" s="535" t="s">
        <v>1040</v>
      </c>
      <c r="D503" s="533" t="s">
        <v>3459</v>
      </c>
      <c r="E503" s="603">
        <v>3155.6322987499993</v>
      </c>
    </row>
    <row r="504" spans="1:5" ht="39.75">
      <c r="A504" s="510">
        <f t="shared" si="7"/>
        <v>1177</v>
      </c>
      <c r="B504" s="535" t="s">
        <v>2065</v>
      </c>
      <c r="C504" s="535" t="s">
        <v>1041</v>
      </c>
      <c r="D504" s="533" t="s">
        <v>3459</v>
      </c>
      <c r="E504" s="603">
        <v>1409.646896875</v>
      </c>
    </row>
    <row r="505" spans="1:5" ht="39.75">
      <c r="A505" s="510">
        <f t="shared" si="7"/>
        <v>1178</v>
      </c>
      <c r="B505" s="535" t="s">
        <v>1042</v>
      </c>
      <c r="C505" s="535" t="s">
        <v>1043</v>
      </c>
      <c r="D505" s="533" t="s">
        <v>3459</v>
      </c>
      <c r="E505" s="603">
        <v>1882.6948575000001</v>
      </c>
    </row>
    <row r="506" spans="1:5" ht="39.75">
      <c r="A506" s="510">
        <f t="shared" si="7"/>
        <v>1179</v>
      </c>
      <c r="B506" s="535" t="s">
        <v>1044</v>
      </c>
      <c r="C506" s="535" t="s">
        <v>1045</v>
      </c>
      <c r="D506" s="533" t="s">
        <v>3459</v>
      </c>
      <c r="E506" s="603">
        <v>3263.5141081249994</v>
      </c>
    </row>
    <row r="507" spans="1:5" ht="39.75">
      <c r="A507" s="510">
        <f t="shared" si="7"/>
        <v>1180</v>
      </c>
      <c r="B507" s="535" t="s">
        <v>1046</v>
      </c>
      <c r="C507" s="535" t="s">
        <v>1047</v>
      </c>
      <c r="D507" s="533" t="s">
        <v>3459</v>
      </c>
      <c r="E507" s="603">
        <v>3627.7677018749996</v>
      </c>
    </row>
    <row r="508" spans="1:5" ht="39.75">
      <c r="A508" s="510">
        <f t="shared" si="7"/>
        <v>1181</v>
      </c>
      <c r="B508" s="535" t="s">
        <v>1048</v>
      </c>
      <c r="C508" s="535" t="s">
        <v>1049</v>
      </c>
      <c r="D508" s="533" t="s">
        <v>3459</v>
      </c>
      <c r="E508" s="603">
        <v>5248.9101112499993</v>
      </c>
    </row>
    <row r="509" spans="1:5" ht="38.25">
      <c r="A509" s="510">
        <f t="shared" si="7"/>
        <v>1182</v>
      </c>
      <c r="B509" s="535" t="s">
        <v>43</v>
      </c>
      <c r="C509" s="535" t="s">
        <v>44</v>
      </c>
      <c r="D509" s="533" t="s">
        <v>3459</v>
      </c>
      <c r="E509" s="603">
        <v>768.30899999999986</v>
      </c>
    </row>
    <row r="510" spans="1:5" ht="29.25" customHeight="1">
      <c r="A510" s="510">
        <f t="shared" si="7"/>
        <v>1183</v>
      </c>
      <c r="B510" s="535" t="s">
        <v>2066</v>
      </c>
      <c r="C510" s="535" t="s">
        <v>45</v>
      </c>
      <c r="D510" s="533" t="s">
        <v>3459</v>
      </c>
      <c r="E510" s="603">
        <v>886.50599999999997</v>
      </c>
    </row>
    <row r="511" spans="1:5" ht="27" customHeight="1">
      <c r="A511" s="510">
        <f t="shared" si="7"/>
        <v>1184</v>
      </c>
      <c r="B511" s="535" t="s">
        <v>2422</v>
      </c>
      <c r="C511" s="535" t="s">
        <v>2423</v>
      </c>
      <c r="D511" s="533" t="s">
        <v>3459</v>
      </c>
      <c r="E511" s="603">
        <v>1797.239</v>
      </c>
    </row>
    <row r="512" spans="1:5" ht="29.25" customHeight="1">
      <c r="A512" s="510">
        <f t="shared" si="7"/>
        <v>1185</v>
      </c>
      <c r="B512" s="535" t="s">
        <v>2424</v>
      </c>
      <c r="C512" s="535" t="s">
        <v>2425</v>
      </c>
      <c r="D512" s="533" t="s">
        <v>1251</v>
      </c>
      <c r="E512" s="604">
        <v>106.996</v>
      </c>
    </row>
    <row r="513" spans="1:11">
      <c r="A513" s="510">
        <f t="shared" si="7"/>
        <v>1186</v>
      </c>
      <c r="B513" s="535" t="s">
        <v>2426</v>
      </c>
      <c r="C513" s="535" t="s">
        <v>2427</v>
      </c>
      <c r="D513" s="533" t="s">
        <v>1251</v>
      </c>
      <c r="E513" s="604">
        <v>90.332499999999996</v>
      </c>
    </row>
    <row r="514" spans="1:11">
      <c r="A514" s="510">
        <f t="shared" si="7"/>
        <v>1187</v>
      </c>
      <c r="B514" s="535" t="s">
        <v>2428</v>
      </c>
      <c r="C514" s="535" t="s">
        <v>2428</v>
      </c>
      <c r="D514" s="533" t="s">
        <v>1251</v>
      </c>
      <c r="E514" s="604">
        <v>89.142250000000004</v>
      </c>
      <c r="K514" t="s">
        <v>2104</v>
      </c>
    </row>
    <row r="515" spans="1:11">
      <c r="A515" s="510">
        <f t="shared" si="7"/>
        <v>1188</v>
      </c>
      <c r="B515" s="535" t="s">
        <v>2429</v>
      </c>
      <c r="C515" s="535" t="s">
        <v>2429</v>
      </c>
      <c r="D515" s="533" t="s">
        <v>1251</v>
      </c>
      <c r="E515" s="604">
        <v>108.38071500000001</v>
      </c>
    </row>
    <row r="516" spans="1:11">
      <c r="A516" s="510">
        <f t="shared" si="7"/>
        <v>1189</v>
      </c>
      <c r="B516" s="535" t="s">
        <v>2430</v>
      </c>
      <c r="C516" s="535" t="s">
        <v>2430</v>
      </c>
      <c r="D516" s="533" t="s">
        <v>1251</v>
      </c>
      <c r="E516" s="604">
        <v>179.14107749999999</v>
      </c>
    </row>
    <row r="517" spans="1:11">
      <c r="A517" s="510">
        <f t="shared" si="7"/>
        <v>1190</v>
      </c>
      <c r="B517" s="535" t="s">
        <v>2431</v>
      </c>
      <c r="C517" s="535" t="s">
        <v>2431</v>
      </c>
      <c r="D517" s="533" t="s">
        <v>1251</v>
      </c>
      <c r="E517" s="604">
        <v>200.45845500000001</v>
      </c>
    </row>
    <row r="518" spans="1:11">
      <c r="A518" s="510">
        <f t="shared" si="7"/>
        <v>1191</v>
      </c>
      <c r="B518" s="535" t="s">
        <v>2432</v>
      </c>
      <c r="C518" s="535" t="s">
        <v>2432</v>
      </c>
      <c r="D518" s="533" t="s">
        <v>1251</v>
      </c>
      <c r="E518" s="604">
        <v>152.50328249999998</v>
      </c>
    </row>
    <row r="519" spans="1:11">
      <c r="A519" s="510">
        <f t="shared" si="7"/>
        <v>1192</v>
      </c>
      <c r="B519" s="535" t="s">
        <v>2433</v>
      </c>
      <c r="C519" s="535" t="s">
        <v>2433</v>
      </c>
      <c r="D519" s="533" t="s">
        <v>1251</v>
      </c>
      <c r="E519" s="604">
        <v>176.08213499999999</v>
      </c>
    </row>
    <row r="520" spans="1:11">
      <c r="A520" s="510">
        <f t="shared" si="7"/>
        <v>1193</v>
      </c>
      <c r="B520" s="535" t="s">
        <v>2434</v>
      </c>
      <c r="C520" s="535" t="s">
        <v>2434</v>
      </c>
      <c r="D520" s="533" t="s">
        <v>1251</v>
      </c>
      <c r="E520" s="604">
        <v>136.08973499999999</v>
      </c>
    </row>
    <row r="521" spans="1:11">
      <c r="A521" s="510">
        <f t="shared" si="7"/>
        <v>1194</v>
      </c>
      <c r="B521" s="535" t="s">
        <v>2435</v>
      </c>
      <c r="C521" s="535" t="s">
        <v>2435</v>
      </c>
      <c r="D521" s="533" t="s">
        <v>1251</v>
      </c>
      <c r="E521" s="604">
        <v>192.28143750000001</v>
      </c>
    </row>
    <row r="522" spans="1:11">
      <c r="A522" s="510">
        <f t="shared" si="7"/>
        <v>1195</v>
      </c>
      <c r="B522" s="535" t="s">
        <v>276</v>
      </c>
      <c r="C522" s="535" t="s">
        <v>276</v>
      </c>
      <c r="D522" s="533" t="s">
        <v>1251</v>
      </c>
      <c r="E522" s="604">
        <v>403.13422499999996</v>
      </c>
    </row>
    <row r="523" spans="1:11">
      <c r="A523" s="510">
        <f t="shared" si="7"/>
        <v>1196</v>
      </c>
      <c r="B523" s="535" t="s">
        <v>277</v>
      </c>
      <c r="C523" s="535" t="s">
        <v>277</v>
      </c>
      <c r="D523" s="533" t="s">
        <v>1251</v>
      </c>
      <c r="E523" s="604">
        <v>15.392749999999999</v>
      </c>
    </row>
    <row r="524" spans="1:11">
      <c r="A524" s="510">
        <f t="shared" si="7"/>
        <v>1197</v>
      </c>
      <c r="B524" s="535" t="s">
        <v>278</v>
      </c>
      <c r="C524" s="535" t="s">
        <v>278</v>
      </c>
      <c r="D524" s="533" t="s">
        <v>1251</v>
      </c>
      <c r="E524" s="604">
        <v>179.49838250000002</v>
      </c>
    </row>
    <row r="525" spans="1:11">
      <c r="A525" s="510">
        <f t="shared" si="7"/>
        <v>1198</v>
      </c>
      <c r="B525" s="535" t="s">
        <v>279</v>
      </c>
      <c r="C525" s="535" t="s">
        <v>279</v>
      </c>
      <c r="D525" s="533" t="s">
        <v>1251</v>
      </c>
      <c r="E525" s="604">
        <v>306.35522750000001</v>
      </c>
    </row>
    <row r="526" spans="1:11">
      <c r="A526" s="510">
        <f t="shared" si="7"/>
        <v>1199</v>
      </c>
      <c r="B526" s="535" t="s">
        <v>280</v>
      </c>
      <c r="C526" s="535" t="s">
        <v>280</v>
      </c>
      <c r="D526" s="533" t="s">
        <v>1251</v>
      </c>
      <c r="E526" s="604">
        <v>340.78915999999998</v>
      </c>
    </row>
    <row r="527" spans="1:11">
      <c r="A527" s="510">
        <f t="shared" si="7"/>
        <v>1200</v>
      </c>
      <c r="B527" s="535" t="s">
        <v>281</v>
      </c>
      <c r="C527" s="535" t="s">
        <v>281</v>
      </c>
      <c r="D527" s="533" t="s">
        <v>1251</v>
      </c>
      <c r="E527" s="604">
        <v>253.06773500000003</v>
      </c>
    </row>
    <row r="528" spans="1:11">
      <c r="A528" s="510">
        <f t="shared" si="7"/>
        <v>1201</v>
      </c>
      <c r="B528" s="535" t="s">
        <v>282</v>
      </c>
      <c r="C528" s="535" t="s">
        <v>282</v>
      </c>
      <c r="D528" s="533" t="s">
        <v>1251</v>
      </c>
      <c r="E528" s="604">
        <v>285.84722000000005</v>
      </c>
    </row>
    <row r="529" spans="1:5">
      <c r="A529" s="510">
        <f t="shared" si="7"/>
        <v>1202</v>
      </c>
      <c r="B529" s="535" t="s">
        <v>283</v>
      </c>
      <c r="C529" s="535" t="s">
        <v>283</v>
      </c>
      <c r="D529" s="533" t="s">
        <v>1251</v>
      </c>
      <c r="E529" s="604">
        <v>228.46526750000004</v>
      </c>
    </row>
    <row r="530" spans="1:5">
      <c r="A530" s="510">
        <f t="shared" si="7"/>
        <v>1203</v>
      </c>
      <c r="B530" s="535" t="s">
        <v>284</v>
      </c>
      <c r="C530" s="535" t="s">
        <v>284</v>
      </c>
      <c r="D530" s="533" t="s">
        <v>1251</v>
      </c>
      <c r="E530" s="604">
        <v>353.45341999999999</v>
      </c>
    </row>
    <row r="531" spans="1:5">
      <c r="A531" s="510">
        <f t="shared" si="7"/>
        <v>1204</v>
      </c>
      <c r="B531" s="535" t="s">
        <v>285</v>
      </c>
      <c r="C531" s="535" t="s">
        <v>285</v>
      </c>
      <c r="D531" s="533" t="s">
        <v>1251</v>
      </c>
      <c r="E531" s="604">
        <v>657.37185499999998</v>
      </c>
    </row>
    <row r="532" spans="1:5">
      <c r="A532" s="510">
        <f t="shared" si="7"/>
        <v>1205</v>
      </c>
      <c r="B532" s="535" t="s">
        <v>286</v>
      </c>
      <c r="C532" s="535" t="s">
        <v>286</v>
      </c>
      <c r="D532" s="533" t="s">
        <v>1251</v>
      </c>
      <c r="E532" s="604">
        <v>28.159417499999996</v>
      </c>
    </row>
    <row r="533" spans="1:5">
      <c r="A533" s="510">
        <f t="shared" si="7"/>
        <v>1206</v>
      </c>
      <c r="B533" s="535" t="s">
        <v>287</v>
      </c>
      <c r="C533" s="535" t="s">
        <v>287</v>
      </c>
      <c r="D533" s="533" t="s">
        <v>1251</v>
      </c>
      <c r="E533" s="604">
        <v>722.5737499999999</v>
      </c>
    </row>
    <row r="534" spans="1:5">
      <c r="A534" s="510">
        <f t="shared" si="7"/>
        <v>1207</v>
      </c>
      <c r="B534" s="535" t="s">
        <v>288</v>
      </c>
      <c r="C534" s="535" t="s">
        <v>288</v>
      </c>
      <c r="D534" s="533" t="s">
        <v>1251</v>
      </c>
      <c r="E534" s="604">
        <v>401.31550000000004</v>
      </c>
    </row>
    <row r="535" spans="1:5">
      <c r="A535" s="510">
        <f t="shared" si="7"/>
        <v>1208</v>
      </c>
      <c r="B535" s="535" t="s">
        <v>289</v>
      </c>
      <c r="C535" s="535" t="s">
        <v>289</v>
      </c>
      <c r="D535" s="533" t="s">
        <v>1251</v>
      </c>
      <c r="E535" s="604">
        <v>358.46650000000005</v>
      </c>
    </row>
    <row r="536" spans="1:5">
      <c r="A536" s="510">
        <f t="shared" si="7"/>
        <v>1209</v>
      </c>
      <c r="B536" s="535" t="s">
        <v>711</v>
      </c>
      <c r="C536" s="535" t="s">
        <v>711</v>
      </c>
      <c r="D536" s="533" t="s">
        <v>1251</v>
      </c>
      <c r="E536" s="604">
        <v>704.82925</v>
      </c>
    </row>
    <row r="537" spans="1:5">
      <c r="A537" s="510">
        <f t="shared" si="7"/>
        <v>1210</v>
      </c>
      <c r="B537" s="535" t="s">
        <v>712</v>
      </c>
      <c r="C537" s="535" t="s">
        <v>713</v>
      </c>
      <c r="D537" s="533" t="s">
        <v>1251</v>
      </c>
      <c r="E537" s="604">
        <v>459.63774999999998</v>
      </c>
    </row>
    <row r="538" spans="1:5">
      <c r="A538" s="510">
        <f t="shared" si="7"/>
        <v>1211</v>
      </c>
      <c r="B538" s="535" t="s">
        <v>714</v>
      </c>
      <c r="C538" s="535" t="s">
        <v>715</v>
      </c>
      <c r="D538" s="533" t="s">
        <v>1251</v>
      </c>
      <c r="E538" s="604">
        <v>328.71025000000003</v>
      </c>
    </row>
    <row r="539" spans="1:5">
      <c r="A539" s="510">
        <f t="shared" ref="A539:A559" si="8">A538+1</f>
        <v>1212</v>
      </c>
      <c r="B539" s="535" t="s">
        <v>716</v>
      </c>
      <c r="C539" s="535" t="s">
        <v>716</v>
      </c>
      <c r="D539" s="533" t="s">
        <v>1251</v>
      </c>
      <c r="E539" s="604">
        <v>586.99450000000002</v>
      </c>
    </row>
    <row r="540" spans="1:5">
      <c r="A540" s="510">
        <f t="shared" si="8"/>
        <v>1213</v>
      </c>
      <c r="B540" s="535" t="s">
        <v>717</v>
      </c>
      <c r="C540" s="535" t="s">
        <v>717</v>
      </c>
      <c r="D540" s="533" t="s">
        <v>1251</v>
      </c>
      <c r="E540" s="604">
        <v>553.66750000000002</v>
      </c>
    </row>
    <row r="541" spans="1:5">
      <c r="A541" s="510">
        <f t="shared" si="8"/>
        <v>1214</v>
      </c>
      <c r="B541" s="535" t="s">
        <v>718</v>
      </c>
      <c r="C541" s="535" t="s">
        <v>718</v>
      </c>
      <c r="D541" s="533" t="s">
        <v>1251</v>
      </c>
      <c r="E541" s="604">
        <v>535.55499999999995</v>
      </c>
    </row>
    <row r="542" spans="1:5">
      <c r="A542" s="510">
        <f t="shared" si="8"/>
        <v>1215</v>
      </c>
      <c r="B542" s="535" t="s">
        <v>719</v>
      </c>
      <c r="C542" s="535" t="s">
        <v>719</v>
      </c>
      <c r="D542" s="533" t="s">
        <v>1251</v>
      </c>
      <c r="E542" s="604">
        <v>434.38375000000002</v>
      </c>
    </row>
    <row r="543" spans="1:5">
      <c r="A543" s="510">
        <f t="shared" si="8"/>
        <v>1216</v>
      </c>
      <c r="B543" s="535" t="s">
        <v>720</v>
      </c>
      <c r="C543" s="535" t="s">
        <v>721</v>
      </c>
      <c r="D543" s="533" t="s">
        <v>1251</v>
      </c>
      <c r="E543" s="604">
        <v>931.90825000000007</v>
      </c>
    </row>
    <row r="544" spans="1:5">
      <c r="A544" s="510">
        <f t="shared" si="8"/>
        <v>1217</v>
      </c>
      <c r="B544" s="535" t="s">
        <v>722</v>
      </c>
      <c r="C544" s="535" t="s">
        <v>723</v>
      </c>
      <c r="D544" s="533" t="s">
        <v>1251</v>
      </c>
      <c r="E544" s="604">
        <v>551.02824999999996</v>
      </c>
    </row>
    <row r="545" spans="1:6">
      <c r="A545" s="510">
        <f t="shared" si="8"/>
        <v>1218</v>
      </c>
      <c r="B545" s="535" t="s">
        <v>724</v>
      </c>
      <c r="C545" s="535" t="s">
        <v>725</v>
      </c>
      <c r="D545" s="533" t="s">
        <v>1251</v>
      </c>
      <c r="E545" s="604">
        <v>771.22450000000003</v>
      </c>
    </row>
    <row r="546" spans="1:6">
      <c r="A546" s="510">
        <f t="shared" si="8"/>
        <v>1219</v>
      </c>
      <c r="B546" s="535" t="s">
        <v>726</v>
      </c>
      <c r="C546" s="535" t="s">
        <v>727</v>
      </c>
      <c r="D546" s="533" t="s">
        <v>1251</v>
      </c>
      <c r="E546" s="604">
        <v>898.58124999999995</v>
      </c>
    </row>
    <row r="547" spans="1:6">
      <c r="A547" s="510">
        <f t="shared" si="8"/>
        <v>1220</v>
      </c>
      <c r="B547" s="535" t="s">
        <v>728</v>
      </c>
      <c r="C547" s="535" t="s">
        <v>729</v>
      </c>
      <c r="D547" s="533" t="s">
        <v>1251</v>
      </c>
      <c r="E547" s="604">
        <v>712.90225000000009</v>
      </c>
    </row>
    <row r="548" spans="1:6">
      <c r="A548" s="510">
        <f t="shared" si="8"/>
        <v>1221</v>
      </c>
      <c r="B548" s="535" t="s">
        <v>730</v>
      </c>
      <c r="C548" s="535" t="s">
        <v>730</v>
      </c>
      <c r="D548" s="533" t="s">
        <v>1251</v>
      </c>
      <c r="E548" s="604">
        <v>814.90724999999998</v>
      </c>
    </row>
    <row r="549" spans="1:6">
      <c r="A549" s="510">
        <f t="shared" si="8"/>
        <v>1222</v>
      </c>
      <c r="B549" s="535" t="s">
        <v>731</v>
      </c>
      <c r="C549" s="535" t="s">
        <v>731</v>
      </c>
      <c r="D549" s="533" t="s">
        <v>1251</v>
      </c>
      <c r="E549" s="604">
        <v>597.0915</v>
      </c>
    </row>
    <row r="550" spans="1:6">
      <c r="A550" s="510">
        <f t="shared" si="8"/>
        <v>1223</v>
      </c>
      <c r="B550" s="535" t="s">
        <v>732</v>
      </c>
      <c r="C550" s="535" t="s">
        <v>732</v>
      </c>
      <c r="D550" s="533" t="s">
        <v>1251</v>
      </c>
      <c r="E550" s="604">
        <v>1229.1142500000001</v>
      </c>
    </row>
    <row r="551" spans="1:6">
      <c r="A551" s="510">
        <f t="shared" si="8"/>
        <v>1224</v>
      </c>
      <c r="B551" s="535" t="s">
        <v>733</v>
      </c>
      <c r="C551" s="535" t="s">
        <v>348</v>
      </c>
      <c r="D551" s="533" t="s">
        <v>1251</v>
      </c>
      <c r="E551" s="604">
        <v>725.63850000000002</v>
      </c>
    </row>
    <row r="552" spans="1:6">
      <c r="A552" s="510">
        <f t="shared" si="8"/>
        <v>1225</v>
      </c>
      <c r="B552" s="535" t="s">
        <v>349</v>
      </c>
      <c r="C552" s="535" t="s">
        <v>349</v>
      </c>
      <c r="D552" s="533" t="s">
        <v>1251</v>
      </c>
      <c r="E552" s="604">
        <v>1051.7670000000001</v>
      </c>
    </row>
    <row r="553" spans="1:6">
      <c r="A553" s="510">
        <f t="shared" si="8"/>
        <v>1226</v>
      </c>
      <c r="B553" s="535" t="s">
        <v>350</v>
      </c>
      <c r="C553" s="535" t="s">
        <v>350</v>
      </c>
      <c r="D553" s="533" t="s">
        <v>1251</v>
      </c>
      <c r="E553" s="604">
        <v>1252.9192499999999</v>
      </c>
    </row>
    <row r="554" spans="1:6">
      <c r="A554" s="510">
        <f t="shared" si="8"/>
        <v>1227</v>
      </c>
      <c r="B554" s="535" t="s">
        <v>351</v>
      </c>
      <c r="C554" s="535" t="s">
        <v>351</v>
      </c>
      <c r="D554" s="533" t="s">
        <v>1251</v>
      </c>
      <c r="E554" s="604">
        <v>866.08799999999997</v>
      </c>
    </row>
    <row r="555" spans="1:6">
      <c r="A555" s="510">
        <f t="shared" si="8"/>
        <v>1228</v>
      </c>
      <c r="B555" s="536" t="s">
        <v>352</v>
      </c>
      <c r="C555" s="536" t="s">
        <v>352</v>
      </c>
      <c r="D555" s="533" t="s">
        <v>353</v>
      </c>
      <c r="E555" s="604">
        <v>1018.67</v>
      </c>
    </row>
    <row r="556" spans="1:6">
      <c r="A556" s="510">
        <f t="shared" si="8"/>
        <v>1229</v>
      </c>
      <c r="B556" s="536" t="s">
        <v>354</v>
      </c>
      <c r="C556" s="536" t="s">
        <v>354</v>
      </c>
      <c r="D556" s="537" t="s">
        <v>3459</v>
      </c>
      <c r="E556" s="604">
        <v>5276.15</v>
      </c>
    </row>
    <row r="557" spans="1:6" s="516" customFormat="1" ht="15" customHeight="1">
      <c r="A557" s="510">
        <f t="shared" si="8"/>
        <v>1230</v>
      </c>
      <c r="B557" s="536" t="s">
        <v>355</v>
      </c>
      <c r="C557" s="536" t="s">
        <v>355</v>
      </c>
      <c r="D557" s="537" t="s">
        <v>3459</v>
      </c>
      <c r="E557" s="604">
        <v>4423.93</v>
      </c>
      <c r="F557" s="518"/>
    </row>
    <row r="558" spans="1:6">
      <c r="A558" s="510">
        <f t="shared" si="8"/>
        <v>1231</v>
      </c>
      <c r="B558" s="536" t="s">
        <v>356</v>
      </c>
      <c r="C558" s="536" t="s">
        <v>356</v>
      </c>
      <c r="D558" s="537" t="s">
        <v>3459</v>
      </c>
      <c r="E558" s="604">
        <v>3920.05</v>
      </c>
    </row>
    <row r="559" spans="1:6">
      <c r="A559" s="510">
        <f t="shared" si="8"/>
        <v>1232</v>
      </c>
      <c r="B559" s="536" t="s">
        <v>357</v>
      </c>
      <c r="C559" s="536" t="s">
        <v>357</v>
      </c>
      <c r="D559" s="537" t="s">
        <v>3459</v>
      </c>
      <c r="E559" s="604">
        <v>3200.94</v>
      </c>
    </row>
    <row r="560" spans="1:6" ht="15.75">
      <c r="A560" s="1052" t="s">
        <v>125</v>
      </c>
      <c r="B560" s="1052"/>
      <c r="C560" s="516"/>
      <c r="D560" s="516"/>
      <c r="E560" s="517"/>
    </row>
    <row r="561" spans="1:5">
      <c r="A561" s="510"/>
      <c r="B561" s="535" t="s">
        <v>358</v>
      </c>
      <c r="C561" s="535" t="s">
        <v>358</v>
      </c>
      <c r="D561" s="533" t="s">
        <v>1251</v>
      </c>
      <c r="E561" s="534"/>
    </row>
    <row r="562" spans="1:5" ht="25.5">
      <c r="A562" s="536"/>
      <c r="B562" s="538" t="s">
        <v>359</v>
      </c>
      <c r="C562" s="538" t="s">
        <v>360</v>
      </c>
      <c r="D562" s="533" t="s">
        <v>3666</v>
      </c>
      <c r="E562" s="539"/>
    </row>
    <row r="563" spans="1:5" ht="25.5">
      <c r="A563" s="536"/>
      <c r="B563" s="538" t="s">
        <v>361</v>
      </c>
      <c r="C563" s="538" t="s">
        <v>362</v>
      </c>
      <c r="D563" s="533" t="s">
        <v>3666</v>
      </c>
      <c r="E563" s="539"/>
    </row>
    <row r="564" spans="1:5">
      <c r="A564" s="536"/>
      <c r="B564" s="536" t="s">
        <v>363</v>
      </c>
      <c r="C564" s="536" t="s">
        <v>364</v>
      </c>
      <c r="D564" s="533" t="s">
        <v>1251</v>
      </c>
      <c r="E564" s="539"/>
    </row>
    <row r="565" spans="1:5" ht="25.5">
      <c r="A565" s="536"/>
      <c r="B565" s="538" t="s">
        <v>365</v>
      </c>
      <c r="C565" s="538" t="s">
        <v>1413</v>
      </c>
      <c r="D565" s="533" t="s">
        <v>1251</v>
      </c>
      <c r="E565" s="539"/>
    </row>
    <row r="566" spans="1:5">
      <c r="A566" s="536"/>
      <c r="B566" s="538" t="s">
        <v>1414</v>
      </c>
      <c r="C566" s="538" t="s">
        <v>1415</v>
      </c>
      <c r="D566" s="533" t="s">
        <v>1251</v>
      </c>
      <c r="E566" s="539"/>
    </row>
    <row r="567" spans="1:5">
      <c r="A567" s="536"/>
      <c r="B567" s="536" t="s">
        <v>1416</v>
      </c>
      <c r="C567" s="536" t="s">
        <v>1417</v>
      </c>
      <c r="D567" s="533" t="s">
        <v>1251</v>
      </c>
      <c r="E567" s="539"/>
    </row>
    <row r="568" spans="1:5">
      <c r="A568" s="536"/>
      <c r="B568" s="540" t="s">
        <v>1418</v>
      </c>
      <c r="C568" s="540" t="s">
        <v>1419</v>
      </c>
      <c r="D568" s="533" t="s">
        <v>1251</v>
      </c>
      <c r="E568" s="541"/>
    </row>
    <row r="569" spans="1:5">
      <c r="A569" s="536"/>
      <c r="B569" s="542" t="s">
        <v>1420</v>
      </c>
      <c r="C569" s="542" t="s">
        <v>1421</v>
      </c>
      <c r="D569" s="533" t="s">
        <v>1251</v>
      </c>
      <c r="E569" s="539"/>
    </row>
    <row r="570" spans="1:5">
      <c r="A570" s="536"/>
      <c r="B570" s="535" t="s">
        <v>1422</v>
      </c>
      <c r="C570" s="535" t="s">
        <v>1423</v>
      </c>
      <c r="D570" s="533" t="s">
        <v>1251</v>
      </c>
      <c r="E570" s="539"/>
    </row>
    <row r="571" spans="1:5">
      <c r="A571" s="536"/>
      <c r="B571" s="535" t="s">
        <v>1424</v>
      </c>
      <c r="C571" s="535" t="s">
        <v>1425</v>
      </c>
      <c r="D571" s="533" t="s">
        <v>1251</v>
      </c>
      <c r="E571" s="539"/>
    </row>
    <row r="572" spans="1:5">
      <c r="A572" s="536"/>
      <c r="B572" s="535" t="s">
        <v>1426</v>
      </c>
      <c r="C572" s="535" t="s">
        <v>1427</v>
      </c>
      <c r="D572" s="533" t="s">
        <v>1251</v>
      </c>
      <c r="E572" s="539"/>
    </row>
    <row r="573" spans="1:5">
      <c r="A573" s="536"/>
      <c r="B573" s="535" t="s">
        <v>1428</v>
      </c>
      <c r="C573" s="535" t="s">
        <v>1428</v>
      </c>
      <c r="D573" s="533" t="s">
        <v>1251</v>
      </c>
      <c r="E573" s="539"/>
    </row>
    <row r="574" spans="1:5">
      <c r="A574" s="536"/>
      <c r="B574" s="535" t="s">
        <v>1429</v>
      </c>
      <c r="C574" s="535" t="s">
        <v>1429</v>
      </c>
      <c r="D574" s="533" t="s">
        <v>1251</v>
      </c>
      <c r="E574" s="539"/>
    </row>
    <row r="575" spans="1:5">
      <c r="A575" s="536"/>
      <c r="B575" s="535" t="s">
        <v>885</v>
      </c>
      <c r="C575" s="535" t="s">
        <v>885</v>
      </c>
      <c r="D575" s="533" t="s">
        <v>1251</v>
      </c>
      <c r="E575" s="539"/>
    </row>
    <row r="576" spans="1:5">
      <c r="A576" s="536"/>
      <c r="B576" s="535" t="s">
        <v>886</v>
      </c>
      <c r="C576" s="535" t="s">
        <v>886</v>
      </c>
      <c r="D576" s="533" t="s">
        <v>1251</v>
      </c>
      <c r="E576" s="539"/>
    </row>
    <row r="577" spans="1:5">
      <c r="A577" s="536"/>
      <c r="B577" s="535" t="s">
        <v>887</v>
      </c>
      <c r="C577" s="535" t="s">
        <v>887</v>
      </c>
      <c r="D577" s="533" t="s">
        <v>1251</v>
      </c>
      <c r="E577" s="539"/>
    </row>
    <row r="578" spans="1:5" ht="27">
      <c r="A578" s="536"/>
      <c r="B578" s="535" t="s">
        <v>1050</v>
      </c>
      <c r="C578" s="535" t="s">
        <v>1050</v>
      </c>
      <c r="D578" s="533" t="s">
        <v>3459</v>
      </c>
      <c r="E578" s="539"/>
    </row>
    <row r="579" spans="1:5">
      <c r="A579" s="536"/>
      <c r="B579" s="535" t="s">
        <v>888</v>
      </c>
      <c r="C579" s="535" t="s">
        <v>888</v>
      </c>
      <c r="D579" s="533" t="s">
        <v>1251</v>
      </c>
      <c r="E579" s="539"/>
    </row>
    <row r="580" spans="1:5" ht="25.5">
      <c r="A580" s="536"/>
      <c r="B580" s="535" t="s">
        <v>889</v>
      </c>
      <c r="C580" s="535" t="s">
        <v>889</v>
      </c>
      <c r="D580" s="533" t="s">
        <v>3666</v>
      </c>
      <c r="E580" s="539"/>
    </row>
    <row r="581" spans="1:5" ht="27">
      <c r="A581" s="536"/>
      <c r="B581" s="535" t="s">
        <v>1051</v>
      </c>
      <c r="C581" s="535" t="s">
        <v>1051</v>
      </c>
      <c r="D581" s="533" t="s">
        <v>3459</v>
      </c>
      <c r="E581" s="539"/>
    </row>
    <row r="582" spans="1:5">
      <c r="A582" s="536"/>
      <c r="B582" s="535" t="s">
        <v>890</v>
      </c>
      <c r="C582" s="535" t="s">
        <v>890</v>
      </c>
      <c r="D582" s="533" t="s">
        <v>1251</v>
      </c>
      <c r="E582" s="539"/>
    </row>
    <row r="583" spans="1:5">
      <c r="A583" s="536"/>
      <c r="B583" s="535" t="s">
        <v>891</v>
      </c>
      <c r="C583" s="535" t="s">
        <v>891</v>
      </c>
      <c r="D583" s="533" t="s">
        <v>1251</v>
      </c>
      <c r="E583" s="539"/>
    </row>
    <row r="584" spans="1:5">
      <c r="A584" s="536"/>
      <c r="B584" s="535" t="s">
        <v>892</v>
      </c>
      <c r="C584" s="535" t="s">
        <v>892</v>
      </c>
      <c r="D584" s="533" t="s">
        <v>1251</v>
      </c>
      <c r="E584" s="539"/>
    </row>
    <row r="585" spans="1:5">
      <c r="A585" s="536"/>
      <c r="B585" s="535" t="s">
        <v>893</v>
      </c>
      <c r="C585" s="535" t="s">
        <v>893</v>
      </c>
      <c r="D585" s="533" t="s">
        <v>1251</v>
      </c>
      <c r="E585" s="539"/>
    </row>
    <row r="586" spans="1:5" ht="25.5">
      <c r="A586" s="536"/>
      <c r="B586" s="535" t="s">
        <v>894</v>
      </c>
      <c r="C586" s="535" t="s">
        <v>894</v>
      </c>
      <c r="D586" s="533" t="s">
        <v>1251</v>
      </c>
      <c r="E586" s="539"/>
    </row>
    <row r="587" spans="1:5" ht="27">
      <c r="A587" s="533"/>
      <c r="B587" s="535" t="s">
        <v>1051</v>
      </c>
      <c r="C587" s="535" t="s">
        <v>1051</v>
      </c>
      <c r="D587" s="533" t="s">
        <v>1251</v>
      </c>
      <c r="E587" s="539"/>
    </row>
    <row r="588" spans="1:5">
      <c r="A588" s="533"/>
      <c r="B588" s="535" t="s">
        <v>895</v>
      </c>
      <c r="C588" s="535" t="s">
        <v>895</v>
      </c>
      <c r="D588" s="533" t="s">
        <v>1251</v>
      </c>
      <c r="E588" s="539"/>
    </row>
    <row r="589" spans="1:5">
      <c r="A589" s="533"/>
      <c r="B589" s="535" t="s">
        <v>896</v>
      </c>
      <c r="C589" s="535" t="s">
        <v>896</v>
      </c>
      <c r="D589" s="533" t="s">
        <v>1251</v>
      </c>
      <c r="E589" s="539"/>
    </row>
    <row r="590" spans="1:5">
      <c r="A590" s="533"/>
      <c r="B590" s="535" t="s">
        <v>897</v>
      </c>
      <c r="C590" s="535" t="s">
        <v>897</v>
      </c>
      <c r="D590" s="533" t="s">
        <v>1251</v>
      </c>
      <c r="E590" s="539"/>
    </row>
    <row r="591" spans="1:5">
      <c r="A591" s="533"/>
      <c r="B591" s="535" t="s">
        <v>898</v>
      </c>
      <c r="C591" s="535" t="s">
        <v>898</v>
      </c>
      <c r="D591" s="533" t="s">
        <v>1251</v>
      </c>
      <c r="E591" s="539"/>
    </row>
    <row r="592" spans="1:5">
      <c r="A592" s="533"/>
      <c r="B592" s="535" t="s">
        <v>899</v>
      </c>
      <c r="C592" s="535" t="s">
        <v>899</v>
      </c>
      <c r="D592" s="533" t="s">
        <v>1251</v>
      </c>
      <c r="E592" s="539"/>
    </row>
    <row r="593" spans="1:5">
      <c r="A593" s="533"/>
      <c r="B593" s="535" t="s">
        <v>900</v>
      </c>
      <c r="C593" s="535" t="s">
        <v>900</v>
      </c>
      <c r="D593" s="533" t="s">
        <v>1251</v>
      </c>
      <c r="E593" s="539"/>
    </row>
    <row r="594" spans="1:5">
      <c r="A594" s="533"/>
      <c r="B594" s="535" t="s">
        <v>901</v>
      </c>
      <c r="C594" s="535" t="s">
        <v>901</v>
      </c>
      <c r="D594" s="533" t="s">
        <v>1251</v>
      </c>
      <c r="E594" s="539"/>
    </row>
    <row r="595" spans="1:5">
      <c r="A595" s="533"/>
      <c r="B595" s="535" t="s">
        <v>902</v>
      </c>
      <c r="C595" s="535" t="s">
        <v>902</v>
      </c>
      <c r="D595" s="533" t="s">
        <v>1251</v>
      </c>
      <c r="E595" s="539"/>
    </row>
    <row r="596" spans="1:5">
      <c r="A596" s="533"/>
      <c r="B596" s="535" t="s">
        <v>903</v>
      </c>
      <c r="C596" s="535" t="s">
        <v>903</v>
      </c>
      <c r="D596" s="533" t="s">
        <v>1251</v>
      </c>
      <c r="E596" s="539"/>
    </row>
    <row r="597" spans="1:5">
      <c r="A597" s="533"/>
      <c r="B597" s="535" t="s">
        <v>904</v>
      </c>
      <c r="C597" s="535" t="s">
        <v>904</v>
      </c>
      <c r="D597" s="533" t="s">
        <v>1251</v>
      </c>
      <c r="E597" s="539"/>
    </row>
    <row r="598" spans="1:5" ht="25.5">
      <c r="A598" s="533"/>
      <c r="B598" s="535" t="s">
        <v>2445</v>
      </c>
      <c r="C598" s="535" t="s">
        <v>2445</v>
      </c>
      <c r="D598" s="533" t="s">
        <v>1251</v>
      </c>
      <c r="E598" s="539"/>
    </row>
    <row r="599" spans="1:5" ht="25.5">
      <c r="A599" s="533"/>
      <c r="B599" s="535" t="s">
        <v>2446</v>
      </c>
      <c r="C599" s="535" t="s">
        <v>2446</v>
      </c>
      <c r="D599" s="533" t="s">
        <v>1251</v>
      </c>
      <c r="E599" s="539"/>
    </row>
    <row r="600" spans="1:5" ht="76.5">
      <c r="A600" s="533"/>
      <c r="B600" s="543" t="s">
        <v>2447</v>
      </c>
      <c r="C600" s="543" t="s">
        <v>2447</v>
      </c>
      <c r="D600" s="533" t="s">
        <v>1251</v>
      </c>
      <c r="E600" s="539"/>
    </row>
    <row r="601" spans="1:5" ht="38.25">
      <c r="A601" s="533"/>
      <c r="B601" s="495" t="s">
        <v>2448</v>
      </c>
      <c r="C601" s="495" t="s">
        <v>2449</v>
      </c>
      <c r="D601" s="533" t="s">
        <v>1251</v>
      </c>
      <c r="E601" s="539"/>
    </row>
    <row r="602" spans="1:5" ht="25.5">
      <c r="A602" s="533"/>
      <c r="B602" s="543" t="s">
        <v>2450</v>
      </c>
      <c r="C602" s="543" t="s">
        <v>2450</v>
      </c>
      <c r="D602" s="533" t="s">
        <v>1251</v>
      </c>
      <c r="E602" s="539"/>
    </row>
    <row r="603" spans="1:5" ht="25.5">
      <c r="A603" s="533"/>
      <c r="B603" s="543" t="s">
        <v>2451</v>
      </c>
      <c r="C603" s="543" t="s">
        <v>2451</v>
      </c>
      <c r="D603" s="533" t="s">
        <v>1251</v>
      </c>
      <c r="E603" s="539"/>
    </row>
    <row r="604" spans="1:5" ht="25.5">
      <c r="A604" s="533"/>
      <c r="B604" s="543" t="s">
        <v>2452</v>
      </c>
      <c r="C604" s="543" t="s">
        <v>2452</v>
      </c>
      <c r="D604" s="533" t="s">
        <v>1251</v>
      </c>
      <c r="E604" s="539"/>
    </row>
    <row r="605" spans="1:5" ht="25.5">
      <c r="A605" s="533"/>
      <c r="B605" s="543" t="s">
        <v>2453</v>
      </c>
      <c r="C605" s="543" t="s">
        <v>2453</v>
      </c>
      <c r="D605" s="533" t="s">
        <v>1251</v>
      </c>
      <c r="E605" s="539"/>
    </row>
    <row r="606" spans="1:5" ht="38.25">
      <c r="A606" s="533"/>
      <c r="B606" s="495" t="s">
        <v>306</v>
      </c>
      <c r="C606" s="495" t="s">
        <v>307</v>
      </c>
      <c r="D606" s="533" t="s">
        <v>1251</v>
      </c>
      <c r="E606" s="539"/>
    </row>
    <row r="607" spans="1:5" ht="38.25">
      <c r="A607" s="533"/>
      <c r="B607" s="495" t="s">
        <v>566</v>
      </c>
      <c r="C607" s="495" t="s">
        <v>567</v>
      </c>
      <c r="D607" s="533" t="s">
        <v>1251</v>
      </c>
      <c r="E607" s="539"/>
    </row>
    <row r="608" spans="1:5" ht="25.5">
      <c r="A608" s="533"/>
      <c r="B608" s="535" t="s">
        <v>568</v>
      </c>
      <c r="C608" s="535" t="s">
        <v>568</v>
      </c>
      <c r="D608" s="533" t="s">
        <v>1251</v>
      </c>
      <c r="E608" s="539"/>
    </row>
    <row r="609" spans="1:5" ht="25.5">
      <c r="A609" s="533"/>
      <c r="B609" s="495" t="s">
        <v>569</v>
      </c>
      <c r="C609" s="495" t="s">
        <v>1052</v>
      </c>
      <c r="D609" s="533" t="s">
        <v>1251</v>
      </c>
      <c r="E609" s="539"/>
    </row>
    <row r="610" spans="1:5" ht="25.5">
      <c r="A610" s="533"/>
      <c r="B610" s="495" t="s">
        <v>570</v>
      </c>
      <c r="C610" s="495" t="s">
        <v>570</v>
      </c>
      <c r="D610" s="533" t="s">
        <v>1251</v>
      </c>
      <c r="E610" s="539"/>
    </row>
    <row r="611" spans="1:5" ht="25.5">
      <c r="A611" s="533"/>
      <c r="B611" s="535" t="s">
        <v>571</v>
      </c>
      <c r="C611" s="535" t="s">
        <v>571</v>
      </c>
      <c r="D611" s="533" t="s">
        <v>1251</v>
      </c>
      <c r="E611" s="539"/>
    </row>
    <row r="612" spans="1:5" ht="25.5">
      <c r="A612" s="533"/>
      <c r="B612" s="495" t="s">
        <v>572</v>
      </c>
      <c r="C612" s="495" t="s">
        <v>572</v>
      </c>
      <c r="D612" s="533" t="s">
        <v>1251</v>
      </c>
      <c r="E612" s="539"/>
    </row>
    <row r="613" spans="1:5" ht="25.5">
      <c r="A613" s="533"/>
      <c r="B613" s="495" t="s">
        <v>573</v>
      </c>
      <c r="C613" s="495" t="s">
        <v>573</v>
      </c>
      <c r="D613" s="533" t="s">
        <v>1251</v>
      </c>
      <c r="E613" s="539"/>
    </row>
    <row r="614" spans="1:5" ht="25.5">
      <c r="A614" s="533"/>
      <c r="B614" s="495" t="s">
        <v>574</v>
      </c>
      <c r="C614" s="495" t="s">
        <v>574</v>
      </c>
      <c r="D614" s="533" t="s">
        <v>1251</v>
      </c>
      <c r="E614" s="539"/>
    </row>
    <row r="615" spans="1:5" ht="25.5">
      <c r="A615" s="533"/>
      <c r="B615" s="495" t="s">
        <v>575</v>
      </c>
      <c r="C615" s="495" t="s">
        <v>575</v>
      </c>
      <c r="D615" s="533" t="s">
        <v>1251</v>
      </c>
      <c r="E615" s="539"/>
    </row>
    <row r="616" spans="1:5" ht="25.5">
      <c r="A616" s="533"/>
      <c r="B616" s="495" t="s">
        <v>313</v>
      </c>
      <c r="C616" s="495" t="s">
        <v>313</v>
      </c>
      <c r="D616" s="533" t="s">
        <v>1251</v>
      </c>
      <c r="E616" s="539"/>
    </row>
    <row r="617" spans="1:5" ht="25.5">
      <c r="A617" s="533"/>
      <c r="B617" s="495" t="s">
        <v>3483</v>
      </c>
      <c r="C617" s="495" t="s">
        <v>3483</v>
      </c>
      <c r="D617" s="533" t="s">
        <v>1251</v>
      </c>
      <c r="E617" s="539"/>
    </row>
    <row r="618" spans="1:5" ht="25.5">
      <c r="A618" s="533"/>
      <c r="B618" s="495" t="s">
        <v>3484</v>
      </c>
      <c r="C618" s="495" t="s">
        <v>3484</v>
      </c>
      <c r="D618" s="533" t="s">
        <v>1251</v>
      </c>
      <c r="E618" s="539"/>
    </row>
    <row r="619" spans="1:5" ht="25.5">
      <c r="A619" s="533"/>
      <c r="B619" s="535" t="s">
        <v>2446</v>
      </c>
      <c r="C619" s="535" t="s">
        <v>2446</v>
      </c>
      <c r="D619" s="533" t="s">
        <v>1251</v>
      </c>
      <c r="E619" s="539"/>
    </row>
    <row r="620" spans="1:5" ht="63.75">
      <c r="A620" s="533"/>
      <c r="B620" s="535" t="s">
        <v>2012</v>
      </c>
      <c r="C620" s="535" t="s">
        <v>2012</v>
      </c>
      <c r="D620" s="533" t="s">
        <v>1251</v>
      </c>
      <c r="E620" s="539"/>
    </row>
    <row r="621" spans="1:5" ht="25.5">
      <c r="A621" s="533"/>
      <c r="B621" s="535" t="s">
        <v>521</v>
      </c>
      <c r="C621" s="535" t="s">
        <v>521</v>
      </c>
      <c r="D621" s="533" t="s">
        <v>3459</v>
      </c>
      <c r="E621" s="539"/>
    </row>
    <row r="622" spans="1:5" ht="25.5">
      <c r="A622" s="533"/>
      <c r="B622" s="535" t="s">
        <v>522</v>
      </c>
      <c r="C622" s="535" t="s">
        <v>522</v>
      </c>
      <c r="D622" s="533" t="s">
        <v>1251</v>
      </c>
      <c r="E622" s="539"/>
    </row>
    <row r="623" spans="1:5" ht="25.5">
      <c r="A623" s="533"/>
      <c r="B623" s="535" t="s">
        <v>523</v>
      </c>
      <c r="C623" s="535" t="s">
        <v>523</v>
      </c>
      <c r="D623" s="533" t="s">
        <v>1251</v>
      </c>
      <c r="E623" s="539"/>
    </row>
    <row r="624" spans="1:5">
      <c r="A624" s="533"/>
      <c r="B624" s="535" t="s">
        <v>524</v>
      </c>
      <c r="C624" s="535" t="s">
        <v>524</v>
      </c>
      <c r="D624" s="533" t="s">
        <v>1251</v>
      </c>
      <c r="E624" s="539"/>
    </row>
    <row r="625" spans="1:5" ht="25.5">
      <c r="A625" s="533"/>
      <c r="B625" s="538" t="s">
        <v>2357</v>
      </c>
      <c r="C625" s="538" t="s">
        <v>2357</v>
      </c>
      <c r="D625" s="533" t="s">
        <v>1251</v>
      </c>
      <c r="E625" s="539"/>
    </row>
    <row r="626" spans="1:5">
      <c r="A626" s="533"/>
      <c r="B626" s="495" t="s">
        <v>2358</v>
      </c>
      <c r="C626" s="495" t="s">
        <v>2358</v>
      </c>
      <c r="D626" s="533" t="s">
        <v>1251</v>
      </c>
      <c r="E626" s="539"/>
    </row>
    <row r="627" spans="1:5" ht="25.5">
      <c r="A627" s="533"/>
      <c r="B627" s="535" t="s">
        <v>2359</v>
      </c>
      <c r="C627" s="535" t="s">
        <v>2359</v>
      </c>
      <c r="D627" s="533" t="s">
        <v>1251</v>
      </c>
      <c r="E627" s="539"/>
    </row>
    <row r="628" spans="1:5" ht="25.5">
      <c r="A628" s="533"/>
      <c r="B628" s="538" t="s">
        <v>2360</v>
      </c>
      <c r="C628" s="538" t="s">
        <v>2360</v>
      </c>
      <c r="D628" s="533" t="s">
        <v>1251</v>
      </c>
      <c r="E628" s="539"/>
    </row>
    <row r="629" spans="1:5">
      <c r="A629" s="533"/>
      <c r="B629" s="535" t="s">
        <v>2361</v>
      </c>
      <c r="C629" s="535" t="s">
        <v>2361</v>
      </c>
      <c r="D629" s="533" t="s">
        <v>3666</v>
      </c>
      <c r="E629" s="539"/>
    </row>
    <row r="630" spans="1:5" ht="38.25">
      <c r="A630" s="533"/>
      <c r="B630" s="543" t="s">
        <v>2362</v>
      </c>
      <c r="C630" s="543" t="s">
        <v>2362</v>
      </c>
      <c r="D630" s="533" t="s">
        <v>1251</v>
      </c>
      <c r="E630" s="539"/>
    </row>
    <row r="631" spans="1:5" ht="25.5">
      <c r="A631" s="533"/>
      <c r="B631" s="535" t="s">
        <v>2363</v>
      </c>
      <c r="C631" s="535" t="s">
        <v>2363</v>
      </c>
      <c r="D631" s="533" t="s">
        <v>1251</v>
      </c>
      <c r="E631" s="539"/>
    </row>
    <row r="632" spans="1:5" ht="38.25">
      <c r="A632" s="533"/>
      <c r="B632" s="495" t="s">
        <v>2364</v>
      </c>
      <c r="C632" s="495" t="s">
        <v>1908</v>
      </c>
      <c r="D632" s="533" t="s">
        <v>1251</v>
      </c>
      <c r="E632" s="539"/>
    </row>
    <row r="633" spans="1:5" ht="38.25">
      <c r="A633" s="533"/>
      <c r="B633" s="543" t="s">
        <v>1909</v>
      </c>
      <c r="C633" s="543" t="s">
        <v>1909</v>
      </c>
      <c r="D633" s="533" t="s">
        <v>1251</v>
      </c>
      <c r="E633" s="539"/>
    </row>
    <row r="634" spans="1:5" ht="38.25">
      <c r="A634" s="533"/>
      <c r="B634" s="543" t="s">
        <v>1910</v>
      </c>
      <c r="C634" s="543" t="s">
        <v>1910</v>
      </c>
      <c r="D634" s="533" t="s">
        <v>1251</v>
      </c>
      <c r="E634" s="539"/>
    </row>
    <row r="635" spans="1:5" ht="38.25">
      <c r="A635" s="533"/>
      <c r="B635" s="543" t="s">
        <v>1911</v>
      </c>
      <c r="C635" s="543" t="s">
        <v>1911</v>
      </c>
      <c r="D635" s="533" t="s">
        <v>1251</v>
      </c>
      <c r="E635" s="539"/>
    </row>
    <row r="636" spans="1:5" ht="25.5">
      <c r="A636" s="533"/>
      <c r="B636" s="543" t="s">
        <v>1912</v>
      </c>
      <c r="C636" s="543" t="s">
        <v>1912</v>
      </c>
      <c r="D636" s="533" t="s">
        <v>1251</v>
      </c>
      <c r="E636" s="539"/>
    </row>
    <row r="637" spans="1:5">
      <c r="A637" s="533"/>
      <c r="B637" s="544" t="s">
        <v>1913</v>
      </c>
      <c r="C637" s="544" t="s">
        <v>1914</v>
      </c>
      <c r="D637" s="533" t="s">
        <v>1251</v>
      </c>
      <c r="E637" s="545"/>
    </row>
    <row r="638" spans="1:5">
      <c r="A638" s="533"/>
      <c r="B638" s="544" t="s">
        <v>1915</v>
      </c>
      <c r="C638" s="544" t="s">
        <v>1315</v>
      </c>
      <c r="D638" s="533" t="s">
        <v>1251</v>
      </c>
      <c r="E638" s="545"/>
    </row>
    <row r="639" spans="1:5" ht="63.75">
      <c r="A639" s="533"/>
      <c r="B639" s="495" t="s">
        <v>1316</v>
      </c>
      <c r="C639" s="495" t="s">
        <v>1316</v>
      </c>
      <c r="D639" s="546" t="s">
        <v>3666</v>
      </c>
      <c r="E639" s="545"/>
    </row>
    <row r="640" spans="1:5" ht="25.5">
      <c r="A640" s="533"/>
      <c r="B640" s="495" t="s">
        <v>1317</v>
      </c>
      <c r="C640" s="495" t="s">
        <v>1318</v>
      </c>
      <c r="D640" s="546" t="s">
        <v>3666</v>
      </c>
      <c r="E640" s="545"/>
    </row>
    <row r="641" spans="1:6" ht="63.75">
      <c r="A641" s="533"/>
      <c r="B641" s="495" t="s">
        <v>1319</v>
      </c>
      <c r="C641" s="495" t="s">
        <v>1319</v>
      </c>
      <c r="D641" s="546" t="s">
        <v>3666</v>
      </c>
      <c r="E641" s="547"/>
    </row>
    <row r="642" spans="1:6" ht="63.75">
      <c r="A642" s="533"/>
      <c r="B642" s="495" t="s">
        <v>1320</v>
      </c>
      <c r="C642" s="495" t="s">
        <v>1320</v>
      </c>
      <c r="D642" s="546" t="s">
        <v>3666</v>
      </c>
      <c r="E642" s="547"/>
    </row>
    <row r="643" spans="1:6" ht="38.25">
      <c r="A643" s="533"/>
      <c r="B643" s="543" t="s">
        <v>1321</v>
      </c>
      <c r="C643" s="543" t="s">
        <v>1321</v>
      </c>
      <c r="D643" s="546" t="s">
        <v>1251</v>
      </c>
      <c r="E643" s="545"/>
    </row>
    <row r="644" spans="1:6">
      <c r="A644" s="533"/>
      <c r="B644" s="544" t="s">
        <v>1322</v>
      </c>
      <c r="C644" s="544" t="s">
        <v>1322</v>
      </c>
      <c r="D644" s="546" t="s">
        <v>1323</v>
      </c>
      <c r="E644" s="545"/>
    </row>
    <row r="645" spans="1:6" ht="25.5">
      <c r="A645" s="533"/>
      <c r="B645" s="544" t="s">
        <v>1324</v>
      </c>
      <c r="C645" s="544" t="s">
        <v>1324</v>
      </c>
      <c r="D645" s="546" t="s">
        <v>1325</v>
      </c>
      <c r="E645" s="545"/>
    </row>
    <row r="646" spans="1:6">
      <c r="A646" s="533"/>
      <c r="B646" s="544" t="s">
        <v>1326</v>
      </c>
      <c r="C646" s="544" t="s">
        <v>1326</v>
      </c>
      <c r="D646" s="546" t="s">
        <v>3459</v>
      </c>
      <c r="E646" s="545"/>
      <c r="F646">
        <v>1873.5</v>
      </c>
    </row>
    <row r="647" spans="1:6">
      <c r="A647" s="533"/>
      <c r="B647" s="544" t="s">
        <v>1327</v>
      </c>
      <c r="C647" s="544" t="s">
        <v>1327</v>
      </c>
      <c r="D647" s="546" t="s">
        <v>3459</v>
      </c>
      <c r="E647" s="545"/>
      <c r="F647">
        <v>1243.72</v>
      </c>
    </row>
    <row r="648" spans="1:6">
      <c r="A648" s="533"/>
      <c r="B648" s="544" t="s">
        <v>1328</v>
      </c>
      <c r="C648" s="544" t="s">
        <v>1328</v>
      </c>
      <c r="D648" s="546" t="s">
        <v>1251</v>
      </c>
      <c r="E648" s="545"/>
    </row>
    <row r="649" spans="1:6">
      <c r="A649" s="533"/>
      <c r="B649" s="544" t="s">
        <v>1329</v>
      </c>
      <c r="C649" s="544" t="s">
        <v>1329</v>
      </c>
      <c r="D649" s="546" t="s">
        <v>1251</v>
      </c>
      <c r="E649" s="545"/>
    </row>
    <row r="650" spans="1:6" ht="25.5">
      <c r="A650" s="533"/>
      <c r="B650" s="544" t="s">
        <v>1330</v>
      </c>
      <c r="C650" s="544" t="s">
        <v>1330</v>
      </c>
      <c r="D650" s="546" t="s">
        <v>1251</v>
      </c>
      <c r="E650" s="545"/>
    </row>
    <row r="651" spans="1:6">
      <c r="A651" s="533"/>
      <c r="B651" s="544" t="s">
        <v>1894</v>
      </c>
      <c r="C651" s="544" t="s">
        <v>1894</v>
      </c>
      <c r="D651" s="546" t="s">
        <v>3666</v>
      </c>
      <c r="E651" s="545"/>
    </row>
    <row r="652" spans="1:6" ht="38.25">
      <c r="A652" s="533"/>
      <c r="B652" s="543" t="s">
        <v>1895</v>
      </c>
      <c r="C652" s="543" t="s">
        <v>1895</v>
      </c>
      <c r="D652" s="546" t="s">
        <v>1251</v>
      </c>
      <c r="E652" s="545"/>
    </row>
    <row r="653" spans="1:6" ht="38.25">
      <c r="A653" s="533"/>
      <c r="B653" s="543" t="s">
        <v>1896</v>
      </c>
      <c r="C653" s="543" t="s">
        <v>1896</v>
      </c>
      <c r="D653" s="546" t="s">
        <v>1251</v>
      </c>
      <c r="E653" s="545"/>
    </row>
    <row r="654" spans="1:6" ht="25.5">
      <c r="A654" s="533"/>
      <c r="B654" s="495" t="s">
        <v>1897</v>
      </c>
      <c r="C654" s="495" t="s">
        <v>1897</v>
      </c>
      <c r="D654" s="546" t="s">
        <v>1251</v>
      </c>
      <c r="E654" s="545"/>
    </row>
    <row r="655" spans="1:6" ht="38.25">
      <c r="A655" s="533"/>
      <c r="B655" s="495" t="s">
        <v>1898</v>
      </c>
      <c r="C655" s="495" t="s">
        <v>1898</v>
      </c>
      <c r="D655" s="546" t="s">
        <v>3666</v>
      </c>
      <c r="E655" s="545"/>
    </row>
    <row r="656" spans="1:6" ht="25.5">
      <c r="A656" s="533"/>
      <c r="B656" s="495" t="s">
        <v>1899</v>
      </c>
      <c r="C656" s="495" t="s">
        <v>1899</v>
      </c>
      <c r="D656" s="546" t="s">
        <v>3666</v>
      </c>
      <c r="E656" s="545"/>
    </row>
    <row r="657" spans="1:5" ht="25.5">
      <c r="A657" s="533"/>
      <c r="B657" s="538" t="s">
        <v>1900</v>
      </c>
      <c r="C657" s="538" t="s">
        <v>1900</v>
      </c>
      <c r="D657" s="546" t="s">
        <v>3666</v>
      </c>
      <c r="E657" s="545"/>
    </row>
    <row r="658" spans="1:5" ht="38.25">
      <c r="A658" s="533"/>
      <c r="B658" s="543" t="s">
        <v>1901</v>
      </c>
      <c r="C658" s="543" t="s">
        <v>1901</v>
      </c>
      <c r="D658" s="546" t="s">
        <v>1251</v>
      </c>
      <c r="E658" s="545"/>
    </row>
    <row r="659" spans="1:5" ht="38.25">
      <c r="A659" s="533"/>
      <c r="B659" s="544" t="s">
        <v>1902</v>
      </c>
      <c r="C659" s="544" t="s">
        <v>1902</v>
      </c>
      <c r="D659" s="546" t="s">
        <v>1903</v>
      </c>
      <c r="E659" s="545"/>
    </row>
    <row r="660" spans="1:5" ht="25.5">
      <c r="A660" s="533"/>
      <c r="B660" s="544" t="s">
        <v>1904</v>
      </c>
      <c r="C660" s="544" t="s">
        <v>1904</v>
      </c>
      <c r="D660" s="546" t="s">
        <v>1251</v>
      </c>
      <c r="E660" s="545"/>
    </row>
    <row r="661" spans="1:5" ht="25.5">
      <c r="A661" s="533"/>
      <c r="B661" s="544" t="s">
        <v>1905</v>
      </c>
      <c r="C661" s="544" t="s">
        <v>1905</v>
      </c>
      <c r="D661" s="546" t="s">
        <v>1323</v>
      </c>
      <c r="E661" s="545"/>
    </row>
    <row r="662" spans="1:5" ht="38.25">
      <c r="A662" s="533"/>
      <c r="B662" s="495" t="s">
        <v>1906</v>
      </c>
      <c r="C662" s="495" t="s">
        <v>1906</v>
      </c>
      <c r="D662" s="546" t="s">
        <v>1907</v>
      </c>
      <c r="E662" s="545"/>
    </row>
    <row r="663" spans="1:5">
      <c r="A663" s="533"/>
      <c r="B663" s="544" t="s">
        <v>2819</v>
      </c>
      <c r="C663" s="544" t="s">
        <v>2819</v>
      </c>
      <c r="D663" s="546" t="s">
        <v>1907</v>
      </c>
      <c r="E663" s="545"/>
    </row>
    <row r="664" spans="1:5">
      <c r="A664" s="533"/>
      <c r="B664" s="544" t="s">
        <v>2820</v>
      </c>
      <c r="C664" s="544" t="s">
        <v>2820</v>
      </c>
      <c r="D664" s="546" t="s">
        <v>1251</v>
      </c>
      <c r="E664" s="545"/>
    </row>
    <row r="665" spans="1:5" ht="21">
      <c r="A665" s="533"/>
      <c r="B665" s="544" t="s">
        <v>1438</v>
      </c>
      <c r="C665" s="544" t="s">
        <v>1438</v>
      </c>
      <c r="D665" s="546" t="s">
        <v>2821</v>
      </c>
      <c r="E665" s="545"/>
    </row>
    <row r="666" spans="1:5" ht="38.25">
      <c r="A666" s="533"/>
      <c r="B666" s="544" t="s">
        <v>2822</v>
      </c>
      <c r="C666" s="544" t="s">
        <v>2822</v>
      </c>
      <c r="D666" s="546" t="s">
        <v>1907</v>
      </c>
      <c r="E666" s="545"/>
    </row>
    <row r="667" spans="1:5" ht="63.75">
      <c r="A667" s="533"/>
      <c r="B667" s="495" t="s">
        <v>2823</v>
      </c>
      <c r="C667" s="495" t="s">
        <v>867</v>
      </c>
      <c r="D667" s="546" t="s">
        <v>1907</v>
      </c>
      <c r="E667" s="545"/>
    </row>
    <row r="668" spans="1:5" ht="25.5">
      <c r="A668" s="533"/>
      <c r="B668" s="544" t="s">
        <v>868</v>
      </c>
      <c r="C668" s="544" t="s">
        <v>868</v>
      </c>
      <c r="D668" s="546" t="s">
        <v>1251</v>
      </c>
      <c r="E668" s="545"/>
    </row>
    <row r="669" spans="1:5">
      <c r="A669" s="533"/>
      <c r="B669" s="544" t="s">
        <v>869</v>
      </c>
      <c r="C669" s="544" t="s">
        <v>869</v>
      </c>
      <c r="D669" s="546" t="s">
        <v>1251</v>
      </c>
      <c r="E669" s="545"/>
    </row>
    <row r="670" spans="1:5">
      <c r="A670" s="533"/>
      <c r="B670" s="544" t="s">
        <v>870</v>
      </c>
      <c r="C670" s="544" t="s">
        <v>870</v>
      </c>
      <c r="D670" s="546" t="s">
        <v>1251</v>
      </c>
      <c r="E670" s="545"/>
    </row>
    <row r="671" spans="1:5" ht="25.5">
      <c r="A671" s="533"/>
      <c r="B671" s="495" t="s">
        <v>871</v>
      </c>
      <c r="C671" s="495" t="s">
        <v>871</v>
      </c>
      <c r="D671" s="546" t="s">
        <v>1251</v>
      </c>
      <c r="E671" s="545"/>
    </row>
    <row r="672" spans="1:5" ht="25.5">
      <c r="A672" s="533"/>
      <c r="B672" s="544" t="s">
        <v>872</v>
      </c>
      <c r="C672" s="544" t="s">
        <v>872</v>
      </c>
      <c r="D672" s="546" t="s">
        <v>3666</v>
      </c>
      <c r="E672" s="545"/>
    </row>
    <row r="673" spans="1:6" ht="25.5">
      <c r="A673" s="533"/>
      <c r="B673" s="544" t="s">
        <v>2694</v>
      </c>
      <c r="C673" s="544" t="s">
        <v>2694</v>
      </c>
      <c r="D673" s="546" t="s">
        <v>3459</v>
      </c>
      <c r="E673" s="545"/>
    </row>
    <row r="674" spans="1:6">
      <c r="A674" s="533"/>
      <c r="B674" s="544" t="s">
        <v>2695</v>
      </c>
      <c r="C674" s="544" t="s">
        <v>2695</v>
      </c>
      <c r="D674" s="546" t="s">
        <v>3666</v>
      </c>
      <c r="E674" s="545"/>
    </row>
    <row r="675" spans="1:6">
      <c r="A675" s="533"/>
      <c r="B675" s="544" t="s">
        <v>2696</v>
      </c>
      <c r="C675" s="544" t="s">
        <v>2696</v>
      </c>
      <c r="D675" s="546" t="s">
        <v>1903</v>
      </c>
      <c r="E675" s="545"/>
    </row>
    <row r="676" spans="1:6">
      <c r="A676" s="533"/>
      <c r="B676" s="544" t="s">
        <v>2697</v>
      </c>
      <c r="C676" s="544" t="s">
        <v>2697</v>
      </c>
      <c r="D676" s="546" t="s">
        <v>1907</v>
      </c>
      <c r="E676" s="545"/>
      <c r="F676" s="545"/>
    </row>
    <row r="677" spans="1:6" ht="76.5">
      <c r="A677" s="533"/>
      <c r="B677" s="543" t="s">
        <v>2447</v>
      </c>
      <c r="C677" s="543" t="s">
        <v>2447</v>
      </c>
      <c r="D677" s="546" t="s">
        <v>1251</v>
      </c>
      <c r="E677" s="545"/>
    </row>
    <row r="678" spans="1:6" ht="38.25">
      <c r="A678" s="533"/>
      <c r="B678" s="543" t="s">
        <v>2698</v>
      </c>
      <c r="C678" s="543" t="s">
        <v>2698</v>
      </c>
      <c r="D678" s="546" t="s">
        <v>1251</v>
      </c>
      <c r="E678" s="545"/>
    </row>
    <row r="679" spans="1:6" ht="38.25">
      <c r="A679" s="533"/>
      <c r="B679" s="543" t="s">
        <v>2824</v>
      </c>
      <c r="C679" s="543" t="s">
        <v>2824</v>
      </c>
      <c r="D679" s="546" t="s">
        <v>1251</v>
      </c>
      <c r="E679" s="545"/>
    </row>
    <row r="680" spans="1:6" ht="38.25">
      <c r="A680" s="533"/>
      <c r="B680" s="543" t="s">
        <v>1321</v>
      </c>
      <c r="C680" s="543" t="s">
        <v>1321</v>
      </c>
      <c r="D680" s="546" t="s">
        <v>1251</v>
      </c>
      <c r="E680" s="545"/>
    </row>
    <row r="681" spans="1:6" ht="38.25">
      <c r="A681" s="533"/>
      <c r="B681" s="543" t="s">
        <v>2825</v>
      </c>
      <c r="C681" s="543" t="s">
        <v>2825</v>
      </c>
      <c r="D681" s="546" t="s">
        <v>1251</v>
      </c>
      <c r="E681" s="545"/>
    </row>
    <row r="682" spans="1:6">
      <c r="A682" s="533"/>
      <c r="B682" s="544"/>
      <c r="C682" s="544"/>
      <c r="D682" s="546"/>
      <c r="E682" s="545"/>
    </row>
    <row r="683" spans="1:6">
      <c r="A683" s="533"/>
      <c r="B683" s="544"/>
      <c r="C683" s="544"/>
      <c r="D683" s="546"/>
      <c r="E683" s="545"/>
    </row>
    <row r="684" spans="1:6">
      <c r="A684" s="533"/>
      <c r="B684" s="544"/>
      <c r="C684" s="544"/>
      <c r="D684" s="546"/>
      <c r="E684" s="545"/>
    </row>
    <row r="685" spans="1:6">
      <c r="A685" s="533"/>
      <c r="B685" s="544"/>
      <c r="C685" s="544"/>
      <c r="D685" s="546"/>
      <c r="E685" s="545"/>
    </row>
    <row r="686" spans="1:6">
      <c r="A686" s="533"/>
      <c r="B686" s="544"/>
      <c r="C686" s="544"/>
      <c r="D686" s="546"/>
      <c r="E686" s="545"/>
    </row>
    <row r="687" spans="1:6">
      <c r="A687" s="533"/>
      <c r="B687" s="544"/>
      <c r="C687" s="544"/>
      <c r="D687" s="546"/>
      <c r="E687" s="545"/>
    </row>
    <row r="688" spans="1:6">
      <c r="A688" s="533"/>
      <c r="B688" s="544"/>
      <c r="C688" s="544"/>
      <c r="D688" s="546"/>
      <c r="E688" s="545"/>
    </row>
    <row r="689" spans="1:5">
      <c r="A689" s="533"/>
      <c r="B689" s="544"/>
      <c r="C689" s="544"/>
      <c r="D689" s="546"/>
      <c r="E689" s="545"/>
    </row>
    <row r="690" spans="1:5">
      <c r="A690" s="533"/>
      <c r="B690" s="544"/>
      <c r="C690" s="544"/>
      <c r="D690" s="546"/>
      <c r="E690" s="545"/>
    </row>
    <row r="691" spans="1:5">
      <c r="A691" s="533"/>
      <c r="B691" s="544"/>
      <c r="C691" s="544"/>
      <c r="D691" s="546"/>
      <c r="E691" s="545"/>
    </row>
    <row r="692" spans="1:5">
      <c r="A692" s="533"/>
      <c r="B692" s="544"/>
      <c r="C692" s="544"/>
      <c r="D692" s="546"/>
      <c r="E692" s="545"/>
    </row>
    <row r="693" spans="1:5">
      <c r="A693" s="533"/>
      <c r="B693" s="544"/>
      <c r="C693" s="544"/>
      <c r="D693" s="546"/>
      <c r="E693" s="545"/>
    </row>
    <row r="694" spans="1:5">
      <c r="A694" s="533"/>
      <c r="B694" s="544"/>
      <c r="C694" s="544"/>
      <c r="D694" s="546"/>
      <c r="E694" s="545"/>
    </row>
    <row r="695" spans="1:5">
      <c r="A695" s="533"/>
      <c r="B695" s="544"/>
      <c r="C695" s="544"/>
      <c r="D695" s="546"/>
      <c r="E695" s="545"/>
    </row>
    <row r="696" spans="1:5">
      <c r="A696" s="533"/>
      <c r="B696" s="544"/>
      <c r="C696" s="544"/>
      <c r="D696" s="546"/>
      <c r="E696" s="545"/>
    </row>
    <row r="697" spans="1:5">
      <c r="A697" s="548"/>
      <c r="B697" s="544"/>
      <c r="C697" s="544"/>
      <c r="D697" s="546"/>
      <c r="E697" s="545"/>
    </row>
    <row r="698" spans="1:5" s="530" customFormat="1">
      <c r="A698" s="526">
        <v>3000</v>
      </c>
      <c r="B698" s="527" t="s">
        <v>2826</v>
      </c>
      <c r="C698" s="527" t="s">
        <v>2826</v>
      </c>
      <c r="D698" s="528"/>
      <c r="E698" s="529"/>
    </row>
    <row r="699" spans="1:5" ht="25.5">
      <c r="A699" s="536">
        <v>3001</v>
      </c>
      <c r="B699" s="291" t="s">
        <v>483</v>
      </c>
      <c r="C699" s="291" t="s">
        <v>483</v>
      </c>
      <c r="D699" s="501" t="s">
        <v>3666</v>
      </c>
      <c r="E699" s="525">
        <v>690</v>
      </c>
    </row>
    <row r="700" spans="1:5" ht="25.5">
      <c r="A700" s="536">
        <v>3002</v>
      </c>
      <c r="B700" s="291" t="s">
        <v>484</v>
      </c>
      <c r="C700" s="291" t="s">
        <v>484</v>
      </c>
      <c r="D700" s="501" t="s">
        <v>3666</v>
      </c>
      <c r="E700" s="525">
        <v>809.02499999999998</v>
      </c>
    </row>
    <row r="701" spans="1:5" ht="25.5">
      <c r="A701" s="536">
        <v>3003</v>
      </c>
      <c r="B701" s="291" t="s">
        <v>485</v>
      </c>
      <c r="C701" s="291" t="s">
        <v>485</v>
      </c>
      <c r="D701" s="501" t="s">
        <v>3666</v>
      </c>
      <c r="E701" s="525">
        <v>1169.9639999999999</v>
      </c>
    </row>
    <row r="702" spans="1:5" ht="25.5">
      <c r="A702" s="536">
        <v>3004</v>
      </c>
      <c r="B702" s="291" t="s">
        <v>486</v>
      </c>
      <c r="C702" s="291" t="s">
        <v>486</v>
      </c>
      <c r="D702" s="501" t="s">
        <v>3666</v>
      </c>
      <c r="E702" s="525">
        <v>1527.039</v>
      </c>
    </row>
    <row r="703" spans="1:5" ht="25.5">
      <c r="A703" s="536">
        <v>3005</v>
      </c>
      <c r="B703" s="291" t="s">
        <v>487</v>
      </c>
      <c r="C703" s="291" t="s">
        <v>487</v>
      </c>
      <c r="D703" s="501" t="s">
        <v>3666</v>
      </c>
      <c r="E703" s="525">
        <v>3436.2</v>
      </c>
    </row>
    <row r="704" spans="1:5">
      <c r="A704" s="536">
        <v>3006</v>
      </c>
      <c r="B704" s="291" t="s">
        <v>488</v>
      </c>
      <c r="C704" s="291" t="s">
        <v>488</v>
      </c>
      <c r="D704" s="501" t="s">
        <v>3666</v>
      </c>
      <c r="E704" s="525">
        <v>2079.3150000000001</v>
      </c>
    </row>
    <row r="705" spans="1:5" ht="25.5">
      <c r="A705" s="536">
        <v>3007</v>
      </c>
      <c r="B705" s="291" t="s">
        <v>489</v>
      </c>
      <c r="C705" s="291" t="s">
        <v>489</v>
      </c>
      <c r="D705" s="501" t="s">
        <v>3666</v>
      </c>
      <c r="E705" s="525">
        <v>1591.2895000000001</v>
      </c>
    </row>
    <row r="706" spans="1:5" ht="25.5">
      <c r="A706" s="536">
        <v>3008</v>
      </c>
      <c r="B706" s="291" t="s">
        <v>2827</v>
      </c>
      <c r="C706" s="291" t="s">
        <v>2827</v>
      </c>
      <c r="D706" s="501" t="s">
        <v>3666</v>
      </c>
      <c r="E706" s="525">
        <v>2389.953</v>
      </c>
    </row>
    <row r="707" spans="1:5" ht="25.5">
      <c r="A707" s="536">
        <v>3009</v>
      </c>
      <c r="B707" s="291" t="s">
        <v>490</v>
      </c>
      <c r="C707" s="291" t="s">
        <v>490</v>
      </c>
      <c r="D707" s="501" t="s">
        <v>3666</v>
      </c>
      <c r="E707" s="525">
        <v>2570.3764999999999</v>
      </c>
    </row>
    <row r="708" spans="1:5" ht="25.5">
      <c r="A708" s="536">
        <v>3010</v>
      </c>
      <c r="B708" s="291" t="s">
        <v>491</v>
      </c>
      <c r="C708" s="291" t="s">
        <v>491</v>
      </c>
      <c r="D708" s="501" t="s">
        <v>3666</v>
      </c>
      <c r="E708" s="525">
        <v>3309.5159999999996</v>
      </c>
    </row>
    <row r="709" spans="1:5" ht="25.5">
      <c r="A709" s="536">
        <v>3011</v>
      </c>
      <c r="B709" s="291" t="s">
        <v>492</v>
      </c>
      <c r="C709" s="291" t="s">
        <v>492</v>
      </c>
      <c r="D709" s="501" t="s">
        <v>3666</v>
      </c>
      <c r="E709" s="525">
        <v>2451.3514999999998</v>
      </c>
    </row>
    <row r="710" spans="1:5" ht="25.5">
      <c r="A710" s="536">
        <v>3012</v>
      </c>
      <c r="B710" s="291" t="s">
        <v>493</v>
      </c>
      <c r="C710" s="291" t="s">
        <v>493</v>
      </c>
      <c r="D710" s="501" t="s">
        <v>3666</v>
      </c>
      <c r="E710" s="525">
        <v>3993.9155000000001</v>
      </c>
    </row>
    <row r="711" spans="1:5" ht="38.25">
      <c r="A711" s="536">
        <v>3013</v>
      </c>
      <c r="B711" s="291" t="s">
        <v>494</v>
      </c>
      <c r="C711" s="291" t="s">
        <v>494</v>
      </c>
      <c r="D711" s="501" t="s">
        <v>3666</v>
      </c>
      <c r="E711" s="525">
        <v>6819.2239999999993</v>
      </c>
    </row>
    <row r="712" spans="1:5" ht="25.5">
      <c r="A712" s="536">
        <v>3014</v>
      </c>
      <c r="B712" s="291" t="s">
        <v>905</v>
      </c>
      <c r="C712" s="291" t="s">
        <v>905</v>
      </c>
      <c r="D712" s="501" t="s">
        <v>3666</v>
      </c>
      <c r="E712" s="525">
        <v>4398.0140000000001</v>
      </c>
    </row>
    <row r="713" spans="1:5" ht="25.5">
      <c r="A713" s="536">
        <v>3015</v>
      </c>
      <c r="B713" s="291" t="s">
        <v>925</v>
      </c>
      <c r="C713" s="291" t="s">
        <v>925</v>
      </c>
      <c r="D713" s="501" t="s">
        <v>3666</v>
      </c>
      <c r="E713" s="525">
        <v>5422.2155000000002</v>
      </c>
    </row>
    <row r="714" spans="1:5" ht="25.5">
      <c r="A714" s="536">
        <v>3016</v>
      </c>
      <c r="B714" s="291" t="s">
        <v>926</v>
      </c>
      <c r="C714" s="291" t="s">
        <v>926</v>
      </c>
      <c r="D714" s="501" t="s">
        <v>3666</v>
      </c>
      <c r="E714" s="525">
        <v>1982.0250000000001</v>
      </c>
    </row>
    <row r="715" spans="1:5" ht="25.5">
      <c r="A715" s="536">
        <v>3017</v>
      </c>
      <c r="B715" s="291" t="s">
        <v>927</v>
      </c>
      <c r="C715" s="291" t="s">
        <v>927</v>
      </c>
      <c r="D715" s="501" t="s">
        <v>3666</v>
      </c>
      <c r="E715" s="525">
        <v>4064.9625000000001</v>
      </c>
    </row>
    <row r="716" spans="1:5" ht="25.5">
      <c r="A716" s="536">
        <v>3018</v>
      </c>
      <c r="B716" s="291" t="s">
        <v>1548</v>
      </c>
      <c r="C716" s="291" t="s">
        <v>1548</v>
      </c>
      <c r="D716" s="501" t="s">
        <v>3666</v>
      </c>
      <c r="E716" s="525">
        <v>12297.237499999999</v>
      </c>
    </row>
    <row r="717" spans="1:5" ht="25.5">
      <c r="A717" s="536">
        <v>3019</v>
      </c>
      <c r="B717" s="291" t="s">
        <v>1549</v>
      </c>
      <c r="C717" s="291" t="s">
        <v>1549</v>
      </c>
      <c r="D717" s="501" t="s">
        <v>3666</v>
      </c>
      <c r="E717" s="525">
        <v>13725.5375</v>
      </c>
    </row>
    <row r="718" spans="1:5">
      <c r="A718" s="599"/>
      <c r="B718" s="600"/>
      <c r="C718" s="600"/>
      <c r="D718" s="601"/>
      <c r="E718" s="602"/>
    </row>
    <row r="719" spans="1:5">
      <c r="A719" s="536">
        <v>3020</v>
      </c>
      <c r="B719" s="291" t="s">
        <v>225</v>
      </c>
      <c r="C719" s="291" t="s">
        <v>225</v>
      </c>
      <c r="D719" s="501" t="s">
        <v>3666</v>
      </c>
      <c r="E719" s="525">
        <v>114.26400000000001</v>
      </c>
    </row>
    <row r="720" spans="1:5">
      <c r="A720" s="536">
        <v>3021</v>
      </c>
      <c r="B720" s="291" t="s">
        <v>1550</v>
      </c>
      <c r="C720" s="291" t="s">
        <v>1550</v>
      </c>
      <c r="D720" s="501" t="s">
        <v>3666</v>
      </c>
      <c r="E720" s="525">
        <v>190.44</v>
      </c>
    </row>
    <row r="721" spans="1:5">
      <c r="A721" s="536">
        <v>3022</v>
      </c>
      <c r="B721" s="291" t="s">
        <v>1551</v>
      </c>
      <c r="C721" s="291" t="s">
        <v>1551</v>
      </c>
      <c r="D721" s="501" t="s">
        <v>3666</v>
      </c>
      <c r="E721" s="525">
        <v>297.5625</v>
      </c>
    </row>
    <row r="722" spans="1:5" ht="25.5">
      <c r="A722" s="536">
        <v>3023</v>
      </c>
      <c r="B722" s="291" t="s">
        <v>1552</v>
      </c>
      <c r="C722" s="291" t="s">
        <v>1552</v>
      </c>
      <c r="D722" s="501" t="s">
        <v>3666</v>
      </c>
      <c r="E722" s="525">
        <v>238.05</v>
      </c>
    </row>
    <row r="723" spans="1:5">
      <c r="A723" s="536">
        <v>3024</v>
      </c>
      <c r="B723" s="291" t="s">
        <v>226</v>
      </c>
      <c r="C723" s="291" t="s">
        <v>226</v>
      </c>
      <c r="D723" s="501" t="s">
        <v>1553</v>
      </c>
      <c r="E723" s="525">
        <v>2261.4749999999999</v>
      </c>
    </row>
    <row r="724" spans="1:5">
      <c r="A724" s="536">
        <v>3025</v>
      </c>
      <c r="B724" s="291" t="s">
        <v>227</v>
      </c>
      <c r="C724" s="291" t="s">
        <v>227</v>
      </c>
      <c r="D724" s="501" t="s">
        <v>1553</v>
      </c>
      <c r="E724" s="525">
        <v>2856.6</v>
      </c>
    </row>
    <row r="725" spans="1:5">
      <c r="A725" s="536">
        <v>3026</v>
      </c>
      <c r="B725" s="291" t="s">
        <v>228</v>
      </c>
      <c r="C725" s="291" t="s">
        <v>228</v>
      </c>
      <c r="D725" s="501" t="s">
        <v>1553</v>
      </c>
      <c r="E725" s="525">
        <v>166.63499999999999</v>
      </c>
    </row>
    <row r="726" spans="1:5">
      <c r="A726" s="536">
        <v>3027</v>
      </c>
      <c r="B726" s="291" t="s">
        <v>229</v>
      </c>
      <c r="C726" s="291" t="s">
        <v>229</v>
      </c>
      <c r="D726" s="501" t="s">
        <v>1553</v>
      </c>
      <c r="E726" s="525">
        <v>148.77550000000002</v>
      </c>
    </row>
    <row r="727" spans="1:5">
      <c r="A727" s="536">
        <v>3028</v>
      </c>
      <c r="B727" s="291" t="s">
        <v>230</v>
      </c>
      <c r="C727" s="291" t="s">
        <v>230</v>
      </c>
      <c r="D727" s="501" t="s">
        <v>1553</v>
      </c>
      <c r="E727" s="525">
        <v>53.555499999999995</v>
      </c>
    </row>
    <row r="728" spans="1:5">
      <c r="A728" s="536">
        <v>3029</v>
      </c>
      <c r="B728" s="291" t="s">
        <v>231</v>
      </c>
      <c r="C728" s="291" t="s">
        <v>231</v>
      </c>
      <c r="D728" s="501" t="s">
        <v>1553</v>
      </c>
      <c r="E728" s="525">
        <v>35.707500000000003</v>
      </c>
    </row>
    <row r="729" spans="1:5">
      <c r="A729" s="599"/>
      <c r="B729" s="600">
        <v>0</v>
      </c>
      <c r="C729" s="600">
        <v>0</v>
      </c>
      <c r="D729" s="601">
        <v>0</v>
      </c>
      <c r="E729" s="602">
        <v>0</v>
      </c>
    </row>
    <row r="730" spans="1:5">
      <c r="A730" s="536">
        <v>3030</v>
      </c>
      <c r="B730" s="291" t="s">
        <v>1554</v>
      </c>
      <c r="C730" s="291" t="s">
        <v>1554</v>
      </c>
      <c r="D730" s="501" t="s">
        <v>3666</v>
      </c>
      <c r="E730" s="525">
        <v>214.13</v>
      </c>
    </row>
    <row r="731" spans="1:5">
      <c r="A731" s="536">
        <v>3031</v>
      </c>
      <c r="B731" s="291" t="s">
        <v>1555</v>
      </c>
      <c r="C731" s="291" t="s">
        <v>1555</v>
      </c>
      <c r="D731" s="501" t="s">
        <v>3666</v>
      </c>
      <c r="E731" s="525">
        <v>223.70949999999999</v>
      </c>
    </row>
    <row r="732" spans="1:5">
      <c r="A732" s="536">
        <v>3032</v>
      </c>
      <c r="B732" s="291" t="s">
        <v>1556</v>
      </c>
      <c r="C732" s="291" t="s">
        <v>1556</v>
      </c>
      <c r="D732" s="501" t="s">
        <v>3666</v>
      </c>
      <c r="E732" s="525">
        <v>169.75149999999999</v>
      </c>
    </row>
    <row r="733" spans="1:5">
      <c r="A733" s="536">
        <v>3033</v>
      </c>
      <c r="B733" s="291" t="s">
        <v>1557</v>
      </c>
      <c r="C733" s="291" t="s">
        <v>1557</v>
      </c>
      <c r="D733" s="501" t="s">
        <v>3666</v>
      </c>
      <c r="E733" s="525">
        <v>227.91849999999999</v>
      </c>
    </row>
    <row r="734" spans="1:5">
      <c r="A734" s="536">
        <v>3034</v>
      </c>
      <c r="B734" s="291" t="s">
        <v>396</v>
      </c>
      <c r="C734" s="291" t="s">
        <v>396</v>
      </c>
      <c r="D734" s="501" t="s">
        <v>3666</v>
      </c>
      <c r="E734" s="525">
        <v>249.94099999999997</v>
      </c>
    </row>
    <row r="735" spans="1:5">
      <c r="A735" s="536">
        <v>3035</v>
      </c>
      <c r="B735" s="291" t="s">
        <v>397</v>
      </c>
      <c r="C735" s="291" t="s">
        <v>397</v>
      </c>
      <c r="D735" s="501"/>
      <c r="E735" s="525">
        <v>259.52049999999997</v>
      </c>
    </row>
    <row r="736" spans="1:5">
      <c r="A736" s="536">
        <v>3036</v>
      </c>
      <c r="B736" s="291" t="s">
        <v>398</v>
      </c>
      <c r="C736" s="291" t="s">
        <v>398</v>
      </c>
      <c r="D736" s="501" t="s">
        <v>3666</v>
      </c>
      <c r="E736" s="525">
        <v>281.12900000000002</v>
      </c>
    </row>
    <row r="737" spans="1:5">
      <c r="A737" s="536">
        <v>3037</v>
      </c>
      <c r="B737" s="291" t="s">
        <v>399</v>
      </c>
      <c r="C737" s="291" t="s">
        <v>399</v>
      </c>
      <c r="D737" s="501" t="s">
        <v>3666</v>
      </c>
      <c r="E737" s="525">
        <v>290.70850000000002</v>
      </c>
    </row>
    <row r="738" spans="1:5">
      <c r="A738" s="536">
        <v>3038</v>
      </c>
      <c r="B738" s="291" t="s">
        <v>400</v>
      </c>
      <c r="C738" s="291" t="s">
        <v>400</v>
      </c>
      <c r="D738" s="501" t="s">
        <v>3666</v>
      </c>
      <c r="E738" s="525">
        <v>300.31100000000004</v>
      </c>
    </row>
    <row r="739" spans="1:5">
      <c r="A739" s="536">
        <v>3039</v>
      </c>
      <c r="B739" s="291" t="s">
        <v>401</v>
      </c>
      <c r="C739" s="291" t="s">
        <v>401</v>
      </c>
      <c r="D739" s="501" t="s">
        <v>3666</v>
      </c>
      <c r="E739" s="525">
        <v>312.19049999999999</v>
      </c>
    </row>
    <row r="740" spans="1:5">
      <c r="A740" s="536">
        <v>3040</v>
      </c>
      <c r="B740" s="291" t="s">
        <v>402</v>
      </c>
      <c r="C740" s="291" t="s">
        <v>402</v>
      </c>
      <c r="D740" s="501" t="s">
        <v>3666</v>
      </c>
      <c r="E740" s="525">
        <v>518.27050000000008</v>
      </c>
    </row>
    <row r="741" spans="1:5">
      <c r="A741" s="536">
        <v>3041</v>
      </c>
      <c r="B741" s="291" t="s">
        <v>403</v>
      </c>
      <c r="C741" s="291" t="s">
        <v>403</v>
      </c>
      <c r="D741" s="501" t="s">
        <v>3666</v>
      </c>
      <c r="E741" s="525">
        <v>521.64</v>
      </c>
    </row>
    <row r="742" spans="1:5">
      <c r="A742" s="536">
        <v>3042</v>
      </c>
      <c r="B742" s="291" t="s">
        <v>404</v>
      </c>
      <c r="C742" s="291" t="s">
        <v>404</v>
      </c>
      <c r="D742" s="501" t="s">
        <v>3666</v>
      </c>
      <c r="E742" s="525">
        <v>529.85099999999989</v>
      </c>
    </row>
    <row r="743" spans="1:5">
      <c r="A743" s="536">
        <v>3043</v>
      </c>
      <c r="B743" s="291" t="s">
        <v>405</v>
      </c>
      <c r="C743" s="291" t="s">
        <v>405</v>
      </c>
      <c r="D743" s="501" t="s">
        <v>3666</v>
      </c>
      <c r="E743" s="525">
        <v>533.22050000000002</v>
      </c>
    </row>
    <row r="744" spans="1:5">
      <c r="A744" s="536">
        <v>3044</v>
      </c>
      <c r="B744" s="291" t="s">
        <v>406</v>
      </c>
      <c r="C744" s="291" t="s">
        <v>406</v>
      </c>
      <c r="D744" s="501" t="s">
        <v>3666</v>
      </c>
      <c r="E744" s="525">
        <v>221.51300000000001</v>
      </c>
    </row>
    <row r="745" spans="1:5">
      <c r="A745" s="536">
        <v>3045</v>
      </c>
      <c r="B745" s="291" t="s">
        <v>407</v>
      </c>
      <c r="C745" s="291" t="s">
        <v>407</v>
      </c>
      <c r="D745" s="501" t="s">
        <v>3666</v>
      </c>
      <c r="E745" s="525">
        <v>231.0925</v>
      </c>
    </row>
    <row r="746" spans="1:5" ht="25.5">
      <c r="A746" s="536">
        <v>3046</v>
      </c>
      <c r="B746" s="291" t="s">
        <v>232</v>
      </c>
      <c r="C746" s="291" t="s">
        <v>232</v>
      </c>
      <c r="D746" s="501" t="s">
        <v>3666</v>
      </c>
      <c r="E746" s="525">
        <v>337.39850000000001</v>
      </c>
    </row>
    <row r="747" spans="1:5">
      <c r="A747" s="536">
        <v>3047</v>
      </c>
      <c r="B747" s="291" t="s">
        <v>233</v>
      </c>
      <c r="C747" s="291" t="s">
        <v>233</v>
      </c>
      <c r="D747" s="501" t="s">
        <v>3666</v>
      </c>
      <c r="E747" s="525">
        <v>465.73850000000004</v>
      </c>
    </row>
    <row r="748" spans="1:5">
      <c r="A748" s="536">
        <v>3048</v>
      </c>
      <c r="B748" s="291" t="s">
        <v>234</v>
      </c>
      <c r="C748" s="291" t="s">
        <v>234</v>
      </c>
      <c r="D748" s="501" t="s">
        <v>3666</v>
      </c>
      <c r="E748" s="525">
        <v>554.21949999999993</v>
      </c>
    </row>
    <row r="749" spans="1:5" ht="25.5">
      <c r="A749" s="536">
        <v>3049</v>
      </c>
      <c r="B749" s="291" t="s">
        <v>408</v>
      </c>
      <c r="C749" s="291" t="s">
        <v>408</v>
      </c>
      <c r="D749" s="501" t="s">
        <v>3666</v>
      </c>
      <c r="E749" s="525">
        <v>366.666</v>
      </c>
    </row>
    <row r="750" spans="1:5" ht="25.5">
      <c r="A750" s="536">
        <v>3050</v>
      </c>
      <c r="B750" s="291" t="s">
        <v>409</v>
      </c>
      <c r="C750" s="291" t="s">
        <v>409</v>
      </c>
      <c r="D750" s="501" t="s">
        <v>3666</v>
      </c>
      <c r="E750" s="525">
        <v>318.07849999999996</v>
      </c>
    </row>
    <row r="751" spans="1:5">
      <c r="A751" s="536">
        <v>3051</v>
      </c>
      <c r="B751" s="291" t="s">
        <v>410</v>
      </c>
      <c r="C751" s="291" t="s">
        <v>410</v>
      </c>
      <c r="D751" s="501" t="s">
        <v>3666</v>
      </c>
      <c r="E751" s="525">
        <v>109.67550000000001</v>
      </c>
    </row>
    <row r="752" spans="1:5" ht="25.5">
      <c r="A752" s="536">
        <v>3052</v>
      </c>
      <c r="B752" s="291" t="s">
        <v>411</v>
      </c>
      <c r="C752" s="291" t="s">
        <v>411</v>
      </c>
      <c r="D752" s="501" t="s">
        <v>3666</v>
      </c>
      <c r="E752" s="525">
        <v>640.40049999999997</v>
      </c>
    </row>
    <row r="753" spans="1:5">
      <c r="A753" s="536">
        <v>3053</v>
      </c>
      <c r="B753" s="291" t="s">
        <v>235</v>
      </c>
      <c r="C753" s="291" t="s">
        <v>235</v>
      </c>
      <c r="D753" s="501" t="s">
        <v>3666</v>
      </c>
      <c r="E753" s="525">
        <v>357.19</v>
      </c>
    </row>
    <row r="754" spans="1:5">
      <c r="A754" s="536">
        <v>3054</v>
      </c>
      <c r="B754" s="291" t="s">
        <v>236</v>
      </c>
      <c r="C754" s="291" t="s">
        <v>236</v>
      </c>
      <c r="D754" s="501" t="s">
        <v>3666</v>
      </c>
      <c r="E754" s="525">
        <v>267.858</v>
      </c>
    </row>
    <row r="755" spans="1:5">
      <c r="A755" s="536">
        <v>3055</v>
      </c>
      <c r="B755" s="291" t="s">
        <v>237</v>
      </c>
      <c r="C755" s="291" t="s">
        <v>237</v>
      </c>
      <c r="D755" s="501" t="s">
        <v>3666</v>
      </c>
      <c r="E755" s="525">
        <v>151.16749999999999</v>
      </c>
    </row>
    <row r="756" spans="1:5">
      <c r="A756" s="536">
        <v>3056</v>
      </c>
      <c r="B756" s="291" t="s">
        <v>238</v>
      </c>
      <c r="C756" s="291" t="s">
        <v>238</v>
      </c>
      <c r="D756" s="501" t="s">
        <v>3666</v>
      </c>
      <c r="E756" s="525">
        <v>293.60649999999998</v>
      </c>
    </row>
    <row r="757" spans="1:5">
      <c r="A757" s="536">
        <v>3057</v>
      </c>
      <c r="B757" s="291" t="s">
        <v>239</v>
      </c>
      <c r="C757" s="291" t="s">
        <v>239</v>
      </c>
      <c r="D757" s="501" t="s">
        <v>3666</v>
      </c>
      <c r="E757" s="525">
        <v>62.979750000000003</v>
      </c>
    </row>
    <row r="758" spans="1:5">
      <c r="A758" s="599"/>
      <c r="B758" s="600">
        <v>0</v>
      </c>
      <c r="C758" s="600">
        <v>0</v>
      </c>
      <c r="D758" s="601">
        <v>0</v>
      </c>
      <c r="E758" s="602">
        <v>0</v>
      </c>
    </row>
    <row r="759" spans="1:5">
      <c r="A759" s="536">
        <v>3058</v>
      </c>
      <c r="B759" s="291" t="s">
        <v>412</v>
      </c>
      <c r="C759" s="291" t="s">
        <v>412</v>
      </c>
      <c r="D759" s="501" t="s">
        <v>3666</v>
      </c>
      <c r="E759" s="525">
        <v>476.50200000000007</v>
      </c>
    </row>
    <row r="760" spans="1:5">
      <c r="A760" s="536">
        <f>A759+1</f>
        <v>3059</v>
      </c>
      <c r="B760" s="291" t="s">
        <v>413</v>
      </c>
      <c r="C760" s="291" t="s">
        <v>413</v>
      </c>
      <c r="D760" s="501" t="s">
        <v>3666</v>
      </c>
      <c r="E760" s="525">
        <v>500.30699999999996</v>
      </c>
    </row>
    <row r="761" spans="1:5">
      <c r="A761" s="536">
        <f t="shared" ref="A761:A770" si="9">A760+1</f>
        <v>3060</v>
      </c>
      <c r="B761" s="291" t="s">
        <v>414</v>
      </c>
      <c r="C761" s="291" t="s">
        <v>414</v>
      </c>
      <c r="D761" s="501" t="s">
        <v>3666</v>
      </c>
      <c r="E761" s="525">
        <v>619.33249999999998</v>
      </c>
    </row>
    <row r="762" spans="1:5">
      <c r="A762" s="536">
        <f t="shared" si="9"/>
        <v>3061</v>
      </c>
      <c r="B762" s="291" t="s">
        <v>415</v>
      </c>
      <c r="C762" s="291" t="s">
        <v>415</v>
      </c>
      <c r="D762" s="501" t="s">
        <v>3666</v>
      </c>
      <c r="E762" s="525">
        <v>791.9129999999999</v>
      </c>
    </row>
    <row r="763" spans="1:5">
      <c r="A763" s="536">
        <f t="shared" si="9"/>
        <v>3062</v>
      </c>
      <c r="B763" s="291" t="s">
        <v>416</v>
      </c>
      <c r="C763" s="291" t="s">
        <v>416</v>
      </c>
      <c r="D763" s="501" t="s">
        <v>3666</v>
      </c>
      <c r="E763" s="525">
        <v>1037.1044999999999</v>
      </c>
    </row>
    <row r="764" spans="1:5">
      <c r="A764" s="536">
        <f t="shared" si="9"/>
        <v>3063</v>
      </c>
      <c r="B764" s="291" t="s">
        <v>417</v>
      </c>
      <c r="C764" s="291" t="s">
        <v>417</v>
      </c>
      <c r="D764" s="501" t="s">
        <v>3666</v>
      </c>
      <c r="E764" s="525">
        <v>1363.2330000000002</v>
      </c>
    </row>
    <row r="765" spans="1:5">
      <c r="A765" s="536">
        <f t="shared" si="9"/>
        <v>3064</v>
      </c>
      <c r="B765" s="291" t="s">
        <v>1566</v>
      </c>
      <c r="C765" s="291" t="s">
        <v>1566</v>
      </c>
      <c r="D765" s="501" t="s">
        <v>3666</v>
      </c>
      <c r="E765" s="525">
        <v>1538.2055</v>
      </c>
    </row>
    <row r="766" spans="1:5">
      <c r="A766" s="536">
        <f t="shared" si="9"/>
        <v>3065</v>
      </c>
      <c r="B766" s="291" t="s">
        <v>1567</v>
      </c>
      <c r="C766" s="291" t="s">
        <v>1567</v>
      </c>
      <c r="D766" s="501" t="s">
        <v>3666</v>
      </c>
      <c r="E766" s="525">
        <v>701.45400000000006</v>
      </c>
    </row>
    <row r="767" spans="1:5">
      <c r="A767" s="536">
        <f t="shared" si="9"/>
        <v>3066</v>
      </c>
      <c r="B767" s="291" t="s">
        <v>1568</v>
      </c>
      <c r="C767" s="291" t="s">
        <v>1568</v>
      </c>
      <c r="D767" s="501" t="s">
        <v>3666</v>
      </c>
      <c r="E767" s="525">
        <v>944.26499999999999</v>
      </c>
    </row>
    <row r="768" spans="1:5">
      <c r="A768" s="536">
        <f t="shared" si="9"/>
        <v>3067</v>
      </c>
      <c r="B768" s="291" t="s">
        <v>1569</v>
      </c>
      <c r="C768" s="291" t="s">
        <v>1569</v>
      </c>
      <c r="D768" s="501" t="s">
        <v>3666</v>
      </c>
      <c r="E768" s="525">
        <v>500.3075</v>
      </c>
    </row>
    <row r="769" spans="1:5">
      <c r="A769" s="536">
        <f t="shared" si="9"/>
        <v>3068</v>
      </c>
      <c r="B769" s="291" t="s">
        <v>1570</v>
      </c>
      <c r="C769" s="291" t="s">
        <v>1570</v>
      </c>
      <c r="D769" s="501" t="s">
        <v>3666</v>
      </c>
      <c r="E769" s="525">
        <v>500.3075</v>
      </c>
    </row>
    <row r="770" spans="1:5">
      <c r="A770" s="536">
        <f t="shared" si="9"/>
        <v>3069</v>
      </c>
      <c r="B770" s="291" t="s">
        <v>1571</v>
      </c>
      <c r="C770" s="291" t="s">
        <v>1571</v>
      </c>
      <c r="D770" s="501" t="s">
        <v>3666</v>
      </c>
      <c r="E770" s="525">
        <v>500.3075</v>
      </c>
    </row>
    <row r="771" spans="1:5">
      <c r="A771" s="599"/>
      <c r="B771" s="600">
        <v>0</v>
      </c>
      <c r="C771" s="600">
        <v>0</v>
      </c>
      <c r="D771" s="601">
        <v>0</v>
      </c>
      <c r="E771" s="602">
        <v>0</v>
      </c>
    </row>
    <row r="772" spans="1:5">
      <c r="A772" s="536">
        <v>3070</v>
      </c>
      <c r="B772" s="291" t="s">
        <v>240</v>
      </c>
      <c r="C772" s="291" t="s">
        <v>240</v>
      </c>
      <c r="D772" s="501" t="s">
        <v>3666</v>
      </c>
      <c r="E772" s="525">
        <v>915.65300000000002</v>
      </c>
    </row>
    <row r="773" spans="1:5">
      <c r="A773" s="536">
        <f>A772+1</f>
        <v>3071</v>
      </c>
      <c r="B773" s="291" t="s">
        <v>241</v>
      </c>
      <c r="C773" s="291" t="s">
        <v>241</v>
      </c>
      <c r="D773" s="501" t="s">
        <v>3666</v>
      </c>
      <c r="E773" s="525">
        <v>1528.6375</v>
      </c>
    </row>
    <row r="774" spans="1:5">
      <c r="A774" s="536">
        <f t="shared" ref="A774:A791" si="10">A773+1</f>
        <v>3072</v>
      </c>
      <c r="B774" s="291" t="s">
        <v>242</v>
      </c>
      <c r="C774" s="291" t="s">
        <v>242</v>
      </c>
      <c r="D774" s="501" t="s">
        <v>3666</v>
      </c>
      <c r="E774" s="525">
        <v>3254.5</v>
      </c>
    </row>
    <row r="775" spans="1:5">
      <c r="A775" s="536">
        <f t="shared" si="10"/>
        <v>3073</v>
      </c>
      <c r="B775" s="291" t="s">
        <v>243</v>
      </c>
      <c r="C775" s="291" t="s">
        <v>243</v>
      </c>
      <c r="D775" s="501" t="s">
        <v>3666</v>
      </c>
      <c r="E775" s="525">
        <v>5754.0249999999996</v>
      </c>
    </row>
    <row r="776" spans="1:5">
      <c r="A776" s="536">
        <f t="shared" si="10"/>
        <v>3074</v>
      </c>
      <c r="B776" s="291" t="s">
        <v>244</v>
      </c>
      <c r="C776" s="291" t="s">
        <v>244</v>
      </c>
      <c r="D776" s="501" t="s">
        <v>3666</v>
      </c>
      <c r="E776" s="525">
        <v>1695.2725</v>
      </c>
    </row>
    <row r="777" spans="1:5">
      <c r="A777" s="536">
        <f t="shared" si="10"/>
        <v>3075</v>
      </c>
      <c r="B777" s="291" t="s">
        <v>245</v>
      </c>
      <c r="C777" s="291" t="s">
        <v>245</v>
      </c>
      <c r="D777" s="501" t="s">
        <v>3666</v>
      </c>
      <c r="E777" s="525">
        <v>2218.9825000000001</v>
      </c>
    </row>
    <row r="778" spans="1:5">
      <c r="A778" s="536">
        <f t="shared" si="10"/>
        <v>3076</v>
      </c>
      <c r="B778" s="291" t="s">
        <v>246</v>
      </c>
      <c r="C778" s="291" t="s">
        <v>246</v>
      </c>
      <c r="D778" s="501" t="s">
        <v>3666</v>
      </c>
      <c r="E778" s="525">
        <v>4313.8225000000002</v>
      </c>
    </row>
    <row r="779" spans="1:5">
      <c r="A779" s="536">
        <f t="shared" si="10"/>
        <v>3077</v>
      </c>
      <c r="B779" s="291" t="s">
        <v>247</v>
      </c>
      <c r="C779" s="291" t="s">
        <v>247</v>
      </c>
      <c r="D779" s="501" t="s">
        <v>3666</v>
      </c>
      <c r="E779" s="525">
        <v>7836.9624999999996</v>
      </c>
    </row>
    <row r="780" spans="1:5">
      <c r="A780" s="536">
        <f t="shared" si="10"/>
        <v>3078</v>
      </c>
      <c r="B780" s="291" t="s">
        <v>248</v>
      </c>
      <c r="C780" s="291" t="s">
        <v>248</v>
      </c>
      <c r="D780" s="501" t="s">
        <v>3666</v>
      </c>
      <c r="E780" s="525">
        <v>1980.9324999999999</v>
      </c>
    </row>
    <row r="781" spans="1:5">
      <c r="A781" s="536">
        <f t="shared" si="10"/>
        <v>3079</v>
      </c>
      <c r="B781" s="291" t="s">
        <v>249</v>
      </c>
      <c r="C781" s="291" t="s">
        <v>249</v>
      </c>
      <c r="D781" s="501" t="s">
        <v>3666</v>
      </c>
      <c r="E781" s="525">
        <v>2611.7649999999999</v>
      </c>
    </row>
    <row r="782" spans="1:5">
      <c r="A782" s="536">
        <f t="shared" si="10"/>
        <v>3080</v>
      </c>
      <c r="B782" s="291" t="s">
        <v>250</v>
      </c>
      <c r="C782" s="291" t="s">
        <v>250</v>
      </c>
      <c r="D782" s="501" t="s">
        <v>3666</v>
      </c>
      <c r="E782" s="525">
        <v>6384.8575000000001</v>
      </c>
    </row>
    <row r="783" spans="1:5">
      <c r="A783" s="536">
        <f t="shared" si="10"/>
        <v>3081</v>
      </c>
      <c r="B783" s="291" t="s">
        <v>251</v>
      </c>
      <c r="C783" s="291" t="s">
        <v>251</v>
      </c>
      <c r="D783" s="501" t="s">
        <v>3666</v>
      </c>
      <c r="E783" s="525">
        <v>8896.2849999999999</v>
      </c>
    </row>
    <row r="784" spans="1:5">
      <c r="A784" s="536">
        <f t="shared" si="10"/>
        <v>3082</v>
      </c>
      <c r="B784" s="291" t="s">
        <v>252</v>
      </c>
      <c r="C784" s="291" t="s">
        <v>252</v>
      </c>
      <c r="D784" s="501" t="s">
        <v>3666</v>
      </c>
      <c r="E784" s="525">
        <v>12378.1975</v>
      </c>
    </row>
    <row r="785" spans="1:5">
      <c r="A785" s="536">
        <f t="shared" si="10"/>
        <v>3083</v>
      </c>
      <c r="B785" s="291" t="s">
        <v>253</v>
      </c>
      <c r="C785" s="291" t="s">
        <v>253</v>
      </c>
      <c r="D785" s="501" t="s">
        <v>3666</v>
      </c>
      <c r="E785" s="525">
        <v>1109.75</v>
      </c>
    </row>
    <row r="786" spans="1:5">
      <c r="A786" s="536">
        <f t="shared" si="10"/>
        <v>3084</v>
      </c>
      <c r="B786" s="291" t="s">
        <v>254</v>
      </c>
      <c r="C786" s="291" t="s">
        <v>254</v>
      </c>
      <c r="D786" s="501" t="s">
        <v>3666</v>
      </c>
      <c r="E786" s="525">
        <v>2002.4375</v>
      </c>
    </row>
    <row r="787" spans="1:5">
      <c r="A787" s="536">
        <f t="shared" si="10"/>
        <v>3085</v>
      </c>
      <c r="B787" s="291" t="s">
        <v>255</v>
      </c>
      <c r="C787" s="291" t="s">
        <v>255</v>
      </c>
      <c r="D787" s="501" t="s">
        <v>3666</v>
      </c>
      <c r="E787" s="525">
        <v>4323.4250000000002</v>
      </c>
    </row>
    <row r="788" spans="1:5">
      <c r="A788" s="536">
        <f t="shared" si="10"/>
        <v>3086</v>
      </c>
      <c r="B788" s="291" t="s">
        <v>256</v>
      </c>
      <c r="C788" s="291" t="s">
        <v>256</v>
      </c>
      <c r="D788" s="501" t="s">
        <v>3666</v>
      </c>
      <c r="E788" s="525">
        <v>8366.7099999999991</v>
      </c>
    </row>
    <row r="789" spans="1:5">
      <c r="A789" s="536">
        <f t="shared" si="10"/>
        <v>3087</v>
      </c>
      <c r="B789" s="291" t="s">
        <v>257</v>
      </c>
      <c r="C789" s="291" t="s">
        <v>257</v>
      </c>
      <c r="D789" s="501" t="s">
        <v>3666</v>
      </c>
      <c r="E789" s="525">
        <v>4242.1085000000003</v>
      </c>
    </row>
    <row r="790" spans="1:5">
      <c r="A790" s="536">
        <f t="shared" si="10"/>
        <v>3088</v>
      </c>
      <c r="B790" s="291" t="s">
        <v>258</v>
      </c>
      <c r="C790" s="291" t="s">
        <v>258</v>
      </c>
      <c r="D790" s="501" t="s">
        <v>3666</v>
      </c>
      <c r="E790" s="525">
        <v>5967.9709999999995</v>
      </c>
    </row>
    <row r="791" spans="1:5">
      <c r="A791" s="536">
        <f t="shared" si="10"/>
        <v>3089</v>
      </c>
      <c r="B791" s="291" t="s">
        <v>259</v>
      </c>
      <c r="C791" s="291" t="s">
        <v>259</v>
      </c>
      <c r="D791" s="501" t="s">
        <v>3666</v>
      </c>
      <c r="E791" s="525">
        <v>7130.69</v>
      </c>
    </row>
    <row r="792" spans="1:5">
      <c r="A792" s="599"/>
      <c r="B792" s="600">
        <v>0</v>
      </c>
      <c r="C792" s="600">
        <v>0</v>
      </c>
      <c r="D792" s="601">
        <v>0</v>
      </c>
      <c r="E792" s="602">
        <v>0</v>
      </c>
    </row>
    <row r="793" spans="1:5" ht="38.25">
      <c r="A793" s="536">
        <v>3090</v>
      </c>
      <c r="B793" s="291" t="s">
        <v>260</v>
      </c>
      <c r="C793" s="291" t="s">
        <v>260</v>
      </c>
      <c r="D793" s="501" t="s">
        <v>3666</v>
      </c>
      <c r="E793" s="525">
        <v>23520.375</v>
      </c>
    </row>
    <row r="794" spans="1:5" ht="38.25">
      <c r="A794" s="536">
        <f>A793+1</f>
        <v>3091</v>
      </c>
      <c r="B794" s="291" t="s">
        <v>261</v>
      </c>
      <c r="C794" s="291" t="s">
        <v>261</v>
      </c>
      <c r="D794" s="501" t="s">
        <v>3666</v>
      </c>
      <c r="E794" s="525">
        <v>24948.674999999999</v>
      </c>
    </row>
    <row r="795" spans="1:5" ht="38.25">
      <c r="A795" s="536">
        <f t="shared" ref="A795:A809" si="11">A794+1</f>
        <v>3092</v>
      </c>
      <c r="B795" s="291" t="s">
        <v>262</v>
      </c>
      <c r="C795" s="291" t="s">
        <v>262</v>
      </c>
      <c r="D795" s="501" t="s">
        <v>3666</v>
      </c>
      <c r="E795" s="525">
        <v>27219.924999999999</v>
      </c>
    </row>
    <row r="796" spans="1:5" ht="38.25">
      <c r="A796" s="536">
        <f t="shared" si="11"/>
        <v>3093</v>
      </c>
      <c r="B796" s="291" t="s">
        <v>263</v>
      </c>
      <c r="C796" s="291" t="s">
        <v>263</v>
      </c>
      <c r="D796" s="501" t="s">
        <v>3666</v>
      </c>
      <c r="E796" s="525">
        <v>41383.9</v>
      </c>
    </row>
    <row r="797" spans="1:5" ht="38.25">
      <c r="A797" s="536">
        <f t="shared" si="11"/>
        <v>3094</v>
      </c>
      <c r="B797" s="291" t="s">
        <v>264</v>
      </c>
      <c r="C797" s="291" t="s">
        <v>264</v>
      </c>
      <c r="D797" s="501" t="s">
        <v>3666</v>
      </c>
      <c r="E797" s="525">
        <v>49025.305000000008</v>
      </c>
    </row>
    <row r="798" spans="1:5">
      <c r="A798" s="536">
        <f t="shared" si="11"/>
        <v>3095</v>
      </c>
      <c r="B798" s="291" t="s">
        <v>265</v>
      </c>
      <c r="C798" s="291" t="s">
        <v>265</v>
      </c>
      <c r="D798" s="501" t="s">
        <v>3666</v>
      </c>
      <c r="E798" s="525">
        <v>5725.1025000000009</v>
      </c>
    </row>
    <row r="799" spans="1:5">
      <c r="A799" s="536">
        <f t="shared" si="11"/>
        <v>3096</v>
      </c>
      <c r="B799" s="291" t="s">
        <v>266</v>
      </c>
      <c r="C799" s="291" t="s">
        <v>266</v>
      </c>
      <c r="D799" s="501" t="s">
        <v>3666</v>
      </c>
      <c r="E799" s="525">
        <v>6320.2275000000009</v>
      </c>
    </row>
    <row r="800" spans="1:5">
      <c r="A800" s="536">
        <f t="shared" si="11"/>
        <v>3097</v>
      </c>
      <c r="B800" s="291" t="s">
        <v>267</v>
      </c>
      <c r="C800" s="291" t="s">
        <v>267</v>
      </c>
      <c r="D800" s="501" t="s">
        <v>3666</v>
      </c>
      <c r="E800" s="525">
        <v>12378.6</v>
      </c>
    </row>
    <row r="801" spans="1:5">
      <c r="A801" s="536">
        <f t="shared" si="11"/>
        <v>3098</v>
      </c>
      <c r="B801" s="291" t="s">
        <v>268</v>
      </c>
      <c r="C801" s="291" t="s">
        <v>268</v>
      </c>
      <c r="D801" s="501" t="s">
        <v>3666</v>
      </c>
      <c r="E801" s="525">
        <v>13925.924999999999</v>
      </c>
    </row>
    <row r="802" spans="1:5">
      <c r="A802" s="536">
        <f t="shared" si="11"/>
        <v>3099</v>
      </c>
      <c r="B802" s="291" t="s">
        <v>269</v>
      </c>
      <c r="C802" s="291" t="s">
        <v>269</v>
      </c>
      <c r="D802" s="501" t="s">
        <v>3666</v>
      </c>
      <c r="E802" s="525">
        <v>26304.525000000001</v>
      </c>
    </row>
    <row r="803" spans="1:5">
      <c r="A803" s="536">
        <f t="shared" si="11"/>
        <v>3100</v>
      </c>
      <c r="B803" s="291" t="s">
        <v>509</v>
      </c>
      <c r="C803" s="291" t="s">
        <v>509</v>
      </c>
      <c r="D803" s="501" t="s">
        <v>3666</v>
      </c>
      <c r="E803" s="525">
        <v>37135.800000000003</v>
      </c>
    </row>
    <row r="804" spans="1:5">
      <c r="A804" s="536">
        <f t="shared" si="11"/>
        <v>3101</v>
      </c>
      <c r="B804" s="291" t="s">
        <v>510</v>
      </c>
      <c r="C804" s="291" t="s">
        <v>510</v>
      </c>
      <c r="D804" s="501" t="s">
        <v>3666</v>
      </c>
      <c r="E804" s="525">
        <v>1181.9124999999999</v>
      </c>
    </row>
    <row r="805" spans="1:5">
      <c r="A805" s="536">
        <f t="shared" si="11"/>
        <v>3102</v>
      </c>
      <c r="B805" s="291" t="s">
        <v>135</v>
      </c>
      <c r="C805" s="291" t="s">
        <v>135</v>
      </c>
      <c r="D805" s="501" t="s">
        <v>3666</v>
      </c>
      <c r="E805" s="525">
        <v>1130.7375</v>
      </c>
    </row>
    <row r="806" spans="1:5">
      <c r="A806" s="536">
        <f t="shared" si="11"/>
        <v>3103</v>
      </c>
      <c r="B806" s="291" t="s">
        <v>511</v>
      </c>
      <c r="C806" s="291" t="s">
        <v>511</v>
      </c>
      <c r="D806" s="501" t="s">
        <v>3666</v>
      </c>
      <c r="E806" s="525">
        <v>273.75749999999999</v>
      </c>
    </row>
    <row r="807" spans="1:5">
      <c r="A807" s="536">
        <f t="shared" si="11"/>
        <v>3104</v>
      </c>
      <c r="B807" s="291" t="s">
        <v>512</v>
      </c>
      <c r="C807" s="291" t="s">
        <v>512</v>
      </c>
      <c r="D807" s="501" t="s">
        <v>3666</v>
      </c>
      <c r="E807" s="525">
        <v>821.27250000000004</v>
      </c>
    </row>
    <row r="808" spans="1:5">
      <c r="A808" s="536">
        <f t="shared" si="11"/>
        <v>3105</v>
      </c>
      <c r="B808" s="291" t="s">
        <v>513</v>
      </c>
      <c r="C808" s="291" t="s">
        <v>513</v>
      </c>
      <c r="D808" s="501" t="s">
        <v>3666</v>
      </c>
      <c r="E808" s="525">
        <v>1654.4475000000002</v>
      </c>
    </row>
    <row r="809" spans="1:5">
      <c r="A809" s="536">
        <f t="shared" si="11"/>
        <v>3106</v>
      </c>
      <c r="B809" s="291" t="s">
        <v>514</v>
      </c>
      <c r="C809" s="291" t="s">
        <v>514</v>
      </c>
      <c r="D809" s="501" t="s">
        <v>3666</v>
      </c>
      <c r="E809" s="525">
        <v>2624.4955</v>
      </c>
    </row>
    <row r="810" spans="1:5">
      <c r="A810" s="599"/>
      <c r="B810" s="600">
        <v>0</v>
      </c>
      <c r="C810" s="600">
        <v>0</v>
      </c>
      <c r="D810" s="601">
        <v>0</v>
      </c>
      <c r="E810" s="602">
        <v>0</v>
      </c>
    </row>
    <row r="811" spans="1:5">
      <c r="A811" s="536">
        <v>3107</v>
      </c>
      <c r="B811" s="291" t="s">
        <v>515</v>
      </c>
      <c r="C811" s="291" t="s">
        <v>515</v>
      </c>
      <c r="D811" s="501" t="s">
        <v>3666</v>
      </c>
      <c r="E811" s="525">
        <v>161.50600000000003</v>
      </c>
    </row>
    <row r="812" spans="1:5">
      <c r="A812" s="536">
        <f>A811+1</f>
        <v>3108</v>
      </c>
      <c r="B812" s="291" t="s">
        <v>516</v>
      </c>
      <c r="C812" s="291" t="s">
        <v>516</v>
      </c>
      <c r="D812" s="501" t="s">
        <v>3666</v>
      </c>
      <c r="E812" s="525">
        <v>192.93549999999999</v>
      </c>
    </row>
    <row r="813" spans="1:5">
      <c r="A813" s="536">
        <f>A812+1</f>
        <v>3109</v>
      </c>
      <c r="B813" s="291" t="s">
        <v>517</v>
      </c>
      <c r="C813" s="291" t="s">
        <v>517</v>
      </c>
      <c r="D813" s="501" t="s">
        <v>3666</v>
      </c>
      <c r="E813" s="525">
        <v>242.92600000000002</v>
      </c>
    </row>
    <row r="814" spans="1:5">
      <c r="A814" s="536">
        <f>A813+1</f>
        <v>3110</v>
      </c>
      <c r="B814" s="291" t="s">
        <v>518</v>
      </c>
      <c r="C814" s="291" t="s">
        <v>518</v>
      </c>
      <c r="D814" s="501" t="s">
        <v>3666</v>
      </c>
      <c r="E814" s="525">
        <v>206.55149999999998</v>
      </c>
    </row>
    <row r="815" spans="1:5">
      <c r="A815" s="536">
        <f>A814+1</f>
        <v>3111</v>
      </c>
      <c r="B815" s="291" t="s">
        <v>519</v>
      </c>
      <c r="C815" s="291" t="s">
        <v>519</v>
      </c>
      <c r="D815" s="501" t="s">
        <v>3666</v>
      </c>
      <c r="E815" s="525">
        <v>249.40049999999997</v>
      </c>
    </row>
    <row r="816" spans="1:5">
      <c r="A816" s="536">
        <f>A815+1</f>
        <v>3112</v>
      </c>
      <c r="B816" s="291" t="s">
        <v>520</v>
      </c>
      <c r="C816" s="291" t="s">
        <v>520</v>
      </c>
      <c r="D816" s="501" t="s">
        <v>3666</v>
      </c>
      <c r="E816" s="525">
        <v>458.8845</v>
      </c>
    </row>
    <row r="817" spans="1:5">
      <c r="A817" s="599"/>
      <c r="B817" s="600">
        <v>0</v>
      </c>
      <c r="C817" s="600">
        <v>0</v>
      </c>
      <c r="D817" s="601">
        <v>0</v>
      </c>
      <c r="E817" s="602">
        <v>0</v>
      </c>
    </row>
    <row r="818" spans="1:5">
      <c r="A818" s="536">
        <v>3113</v>
      </c>
      <c r="B818" s="291" t="s">
        <v>136</v>
      </c>
      <c r="C818" s="291" t="s">
        <v>136</v>
      </c>
      <c r="D818" s="501" t="s">
        <v>1979</v>
      </c>
      <c r="E818" s="525">
        <v>130.92750000000001</v>
      </c>
    </row>
    <row r="819" spans="1:5">
      <c r="A819" s="536">
        <f>A818+1</f>
        <v>3114</v>
      </c>
      <c r="B819" s="291" t="s">
        <v>137</v>
      </c>
      <c r="C819" s="291" t="s">
        <v>137</v>
      </c>
      <c r="D819" s="501" t="s">
        <v>1979</v>
      </c>
      <c r="E819" s="525">
        <v>428.49</v>
      </c>
    </row>
    <row r="820" spans="1:5">
      <c r="A820" s="536">
        <f t="shared" ref="A820:A825" si="12">A819+1</f>
        <v>3115</v>
      </c>
      <c r="B820" s="291" t="s">
        <v>138</v>
      </c>
      <c r="C820" s="291" t="s">
        <v>138</v>
      </c>
      <c r="D820" s="501" t="s">
        <v>1979</v>
      </c>
      <c r="E820" s="525">
        <v>797.46749999999997</v>
      </c>
    </row>
    <row r="821" spans="1:5">
      <c r="A821" s="536">
        <f t="shared" si="12"/>
        <v>3116</v>
      </c>
      <c r="B821" s="291" t="s">
        <v>139</v>
      </c>
      <c r="C821" s="291" t="s">
        <v>139</v>
      </c>
      <c r="D821" s="501" t="s">
        <v>1979</v>
      </c>
      <c r="E821" s="525">
        <v>1166.4449999999999</v>
      </c>
    </row>
    <row r="822" spans="1:5">
      <c r="A822" s="536">
        <f t="shared" si="12"/>
        <v>3117</v>
      </c>
      <c r="B822" s="291" t="s">
        <v>140</v>
      </c>
      <c r="C822" s="291" t="s">
        <v>140</v>
      </c>
      <c r="D822" s="501" t="s">
        <v>1979</v>
      </c>
      <c r="E822" s="525">
        <v>273.75749999999999</v>
      </c>
    </row>
    <row r="823" spans="1:5">
      <c r="A823" s="536">
        <f t="shared" si="12"/>
        <v>3118</v>
      </c>
      <c r="B823" s="291" t="s">
        <v>141</v>
      </c>
      <c r="C823" s="291" t="s">
        <v>141</v>
      </c>
      <c r="D823" s="501" t="s">
        <v>1979</v>
      </c>
      <c r="E823" s="525">
        <v>714.15</v>
      </c>
    </row>
    <row r="824" spans="1:5">
      <c r="A824" s="536">
        <f t="shared" si="12"/>
        <v>3119</v>
      </c>
      <c r="B824" s="291" t="s">
        <v>142</v>
      </c>
      <c r="C824" s="291" t="s">
        <v>142</v>
      </c>
      <c r="D824" s="501" t="s">
        <v>1979</v>
      </c>
      <c r="E824" s="525">
        <v>1309.2750000000001</v>
      </c>
    </row>
    <row r="825" spans="1:5">
      <c r="A825" s="536">
        <f t="shared" si="12"/>
        <v>3120</v>
      </c>
      <c r="B825" s="291" t="s">
        <v>143</v>
      </c>
      <c r="C825" s="291" t="s">
        <v>143</v>
      </c>
      <c r="D825" s="501" t="s">
        <v>1979</v>
      </c>
      <c r="E825" s="525">
        <v>1642.5450000000001</v>
      </c>
    </row>
    <row r="826" spans="1:5">
      <c r="A826" s="599"/>
      <c r="B826" s="600">
        <v>0</v>
      </c>
      <c r="C826" s="600">
        <v>0</v>
      </c>
      <c r="D826" s="601">
        <v>0</v>
      </c>
      <c r="E826" s="602">
        <v>0</v>
      </c>
    </row>
    <row r="827" spans="1:5">
      <c r="A827" s="536">
        <v>3121</v>
      </c>
      <c r="B827" s="291" t="s">
        <v>136</v>
      </c>
      <c r="C827" s="291" t="s">
        <v>136</v>
      </c>
      <c r="D827" s="501" t="s">
        <v>3666</v>
      </c>
      <c r="E827" s="525">
        <v>238.05</v>
      </c>
    </row>
    <row r="828" spans="1:5">
      <c r="A828" s="536">
        <f>A827+1</f>
        <v>3122</v>
      </c>
      <c r="B828" s="291" t="s">
        <v>137</v>
      </c>
      <c r="C828" s="291" t="s">
        <v>137</v>
      </c>
      <c r="D828" s="501" t="s">
        <v>3666</v>
      </c>
      <c r="E828" s="525">
        <v>964.10249999999996</v>
      </c>
    </row>
    <row r="829" spans="1:5">
      <c r="A829" s="536">
        <f t="shared" ref="A829:A835" si="13">A828+1</f>
        <v>3123</v>
      </c>
      <c r="B829" s="291" t="s">
        <v>138</v>
      </c>
      <c r="C829" s="291" t="s">
        <v>138</v>
      </c>
      <c r="D829" s="501" t="s">
        <v>3666</v>
      </c>
      <c r="E829" s="525">
        <v>1368.7874999999999</v>
      </c>
    </row>
    <row r="830" spans="1:5">
      <c r="A830" s="536">
        <f t="shared" si="13"/>
        <v>3124</v>
      </c>
      <c r="B830" s="291" t="s">
        <v>139</v>
      </c>
      <c r="C830" s="291" t="s">
        <v>139</v>
      </c>
      <c r="D830" s="501" t="s">
        <v>3666</v>
      </c>
      <c r="E830" s="525">
        <v>1666.35</v>
      </c>
    </row>
    <row r="831" spans="1:5">
      <c r="A831" s="536">
        <f t="shared" si="13"/>
        <v>3125</v>
      </c>
      <c r="B831" s="291" t="s">
        <v>144</v>
      </c>
      <c r="C831" s="291" t="s">
        <v>144</v>
      </c>
      <c r="D831" s="501" t="s">
        <v>3666</v>
      </c>
      <c r="E831" s="525">
        <v>1214.0550000000001</v>
      </c>
    </row>
    <row r="832" spans="1:5">
      <c r="A832" s="536">
        <f t="shared" si="13"/>
        <v>3126</v>
      </c>
      <c r="B832" s="291" t="s">
        <v>145</v>
      </c>
      <c r="C832" s="291" t="s">
        <v>145</v>
      </c>
      <c r="D832" s="501" t="s">
        <v>3666</v>
      </c>
      <c r="E832" s="525">
        <v>1487.8125</v>
      </c>
    </row>
    <row r="833" spans="1:5">
      <c r="A833" s="536">
        <f t="shared" si="13"/>
        <v>3127</v>
      </c>
      <c r="B833" s="291" t="s">
        <v>146</v>
      </c>
      <c r="C833" s="291" t="s">
        <v>146</v>
      </c>
      <c r="D833" s="501" t="s">
        <v>3666</v>
      </c>
      <c r="E833" s="525">
        <v>1904.4</v>
      </c>
    </row>
    <row r="834" spans="1:5">
      <c r="A834" s="536">
        <f t="shared" si="13"/>
        <v>3128</v>
      </c>
      <c r="B834" s="291" t="s">
        <v>147</v>
      </c>
      <c r="C834" s="291" t="s">
        <v>147</v>
      </c>
      <c r="D834" s="501" t="s">
        <v>3666</v>
      </c>
      <c r="E834" s="525">
        <v>2023.425</v>
      </c>
    </row>
    <row r="835" spans="1:5">
      <c r="A835" s="536">
        <f t="shared" si="13"/>
        <v>3129</v>
      </c>
      <c r="B835" s="291" t="s">
        <v>148</v>
      </c>
      <c r="C835" s="291" t="s">
        <v>148</v>
      </c>
      <c r="D835" s="501" t="s">
        <v>3666</v>
      </c>
      <c r="E835" s="525">
        <v>2142.4499999999998</v>
      </c>
    </row>
    <row r="836" spans="1:5">
      <c r="A836" s="599"/>
      <c r="B836" s="600">
        <v>0</v>
      </c>
      <c r="C836" s="600">
        <v>0</v>
      </c>
      <c r="D836" s="601">
        <v>0</v>
      </c>
      <c r="E836" s="602">
        <v>0</v>
      </c>
    </row>
    <row r="837" spans="1:5">
      <c r="A837" s="536">
        <v>3130</v>
      </c>
      <c r="B837" s="291" t="s">
        <v>149</v>
      </c>
      <c r="C837" s="291" t="s">
        <v>149</v>
      </c>
      <c r="D837" s="501" t="s">
        <v>3666</v>
      </c>
      <c r="E837" s="525">
        <v>1712.6375</v>
      </c>
    </row>
    <row r="838" spans="1:5">
      <c r="A838" s="536">
        <f>A837+1</f>
        <v>3131</v>
      </c>
      <c r="B838" s="291" t="s">
        <v>150</v>
      </c>
      <c r="C838" s="291" t="s">
        <v>150</v>
      </c>
      <c r="D838" s="501" t="s">
        <v>3666</v>
      </c>
      <c r="E838" s="525">
        <v>1775.002</v>
      </c>
    </row>
    <row r="839" spans="1:5">
      <c r="A839" s="536">
        <f t="shared" ref="A839:A845" si="14">A838+1</f>
        <v>3132</v>
      </c>
      <c r="B839" s="291" t="s">
        <v>151</v>
      </c>
      <c r="C839" s="291" t="s">
        <v>151</v>
      </c>
      <c r="D839" s="501" t="s">
        <v>3666</v>
      </c>
      <c r="E839" s="525">
        <v>2173.5</v>
      </c>
    </row>
    <row r="840" spans="1:5">
      <c r="A840" s="536">
        <f t="shared" si="14"/>
        <v>3133</v>
      </c>
      <c r="B840" s="291" t="s">
        <v>152</v>
      </c>
      <c r="C840" s="291" t="s">
        <v>152</v>
      </c>
      <c r="D840" s="501" t="s">
        <v>3666</v>
      </c>
      <c r="E840" s="525">
        <v>2478.2040000000002</v>
      </c>
    </row>
    <row r="841" spans="1:5">
      <c r="A841" s="536">
        <f t="shared" si="14"/>
        <v>3134</v>
      </c>
      <c r="B841" s="291" t="s">
        <v>153</v>
      </c>
      <c r="C841" s="291" t="s">
        <v>153</v>
      </c>
      <c r="D841" s="501" t="s">
        <v>3666</v>
      </c>
      <c r="E841" s="525">
        <v>2611.5120000000002</v>
      </c>
    </row>
    <row r="842" spans="1:5">
      <c r="A842" s="536">
        <f t="shared" si="14"/>
        <v>3135</v>
      </c>
      <c r="B842" s="291" t="s">
        <v>154</v>
      </c>
      <c r="C842" s="291" t="s">
        <v>154</v>
      </c>
      <c r="D842" s="501" t="s">
        <v>3666</v>
      </c>
      <c r="E842" s="525">
        <v>3546.0940000000001</v>
      </c>
    </row>
    <row r="843" spans="1:5">
      <c r="A843" s="536">
        <f t="shared" si="14"/>
        <v>3136</v>
      </c>
      <c r="B843" s="291" t="s">
        <v>155</v>
      </c>
      <c r="C843" s="291" t="s">
        <v>155</v>
      </c>
      <c r="D843" s="501" t="s">
        <v>3666</v>
      </c>
      <c r="E843" s="525">
        <v>3926.9740000000002</v>
      </c>
    </row>
    <row r="844" spans="1:5">
      <c r="A844" s="536">
        <f t="shared" si="14"/>
        <v>3137</v>
      </c>
      <c r="B844" s="291" t="s">
        <v>156</v>
      </c>
      <c r="C844" s="291" t="s">
        <v>156</v>
      </c>
      <c r="D844" s="501" t="s">
        <v>3666</v>
      </c>
      <c r="E844" s="525">
        <v>4354.9925000000003</v>
      </c>
    </row>
    <row r="845" spans="1:5">
      <c r="A845" s="536">
        <f t="shared" si="14"/>
        <v>3138</v>
      </c>
      <c r="B845" s="291" t="s">
        <v>157</v>
      </c>
      <c r="C845" s="291" t="s">
        <v>157</v>
      </c>
      <c r="D845" s="501" t="s">
        <v>3666</v>
      </c>
      <c r="E845" s="525">
        <v>6755.7209999999995</v>
      </c>
    </row>
    <row r="846" spans="1:5">
      <c r="A846" s="599"/>
      <c r="B846" s="600">
        <v>0</v>
      </c>
      <c r="C846" s="600">
        <v>0</v>
      </c>
      <c r="D846" s="601">
        <v>0</v>
      </c>
      <c r="E846" s="602">
        <v>0</v>
      </c>
    </row>
    <row r="847" spans="1:5">
      <c r="A847" s="536">
        <v>3139</v>
      </c>
      <c r="B847" s="291" t="s">
        <v>158</v>
      </c>
      <c r="C847" s="291" t="s">
        <v>158</v>
      </c>
      <c r="D847" s="501" t="s">
        <v>3666</v>
      </c>
      <c r="E847" s="525">
        <v>3368.2694999999999</v>
      </c>
    </row>
    <row r="848" spans="1:5">
      <c r="A848" s="536">
        <f>A847+1</f>
        <v>3140</v>
      </c>
      <c r="B848" s="291" t="s">
        <v>159</v>
      </c>
      <c r="C848" s="291" t="s">
        <v>159</v>
      </c>
      <c r="D848" s="501" t="s">
        <v>3666</v>
      </c>
      <c r="E848" s="525">
        <v>4212.1625000000004</v>
      </c>
    </row>
    <row r="849" spans="1:5">
      <c r="A849" s="536">
        <f t="shared" ref="A849:A854" si="15">A848+1</f>
        <v>3141</v>
      </c>
      <c r="B849" s="291" t="s">
        <v>160</v>
      </c>
      <c r="C849" s="291" t="s">
        <v>160</v>
      </c>
      <c r="D849" s="501" t="s">
        <v>3666</v>
      </c>
      <c r="E849" s="525">
        <v>5148.8834999999999</v>
      </c>
    </row>
    <row r="850" spans="1:5">
      <c r="A850" s="536">
        <f t="shared" si="15"/>
        <v>3142</v>
      </c>
      <c r="B850" s="291" t="s">
        <v>161</v>
      </c>
      <c r="C850" s="291" t="s">
        <v>161</v>
      </c>
      <c r="D850" s="501" t="s">
        <v>3666</v>
      </c>
      <c r="E850" s="525">
        <v>6190.3580000000002</v>
      </c>
    </row>
    <row r="851" spans="1:5">
      <c r="A851" s="536">
        <f t="shared" si="15"/>
        <v>3143</v>
      </c>
      <c r="B851" s="291" t="s">
        <v>162</v>
      </c>
      <c r="C851" s="291" t="s">
        <v>162</v>
      </c>
      <c r="D851" s="501" t="s">
        <v>3666</v>
      </c>
      <c r="E851" s="525">
        <v>7335.3784999999998</v>
      </c>
    </row>
    <row r="852" spans="1:5">
      <c r="A852" s="536">
        <f t="shared" si="15"/>
        <v>3144</v>
      </c>
      <c r="B852" s="291" t="s">
        <v>163</v>
      </c>
      <c r="C852" s="291" t="s">
        <v>163</v>
      </c>
      <c r="D852" s="501" t="s">
        <v>3666</v>
      </c>
      <c r="E852" s="525">
        <v>8585.1409999999996</v>
      </c>
    </row>
    <row r="853" spans="1:5">
      <c r="A853" s="536">
        <f t="shared" si="15"/>
        <v>3145</v>
      </c>
      <c r="B853" s="291" t="s">
        <v>50</v>
      </c>
      <c r="C853" s="291" t="s">
        <v>50</v>
      </c>
      <c r="D853" s="501" t="s">
        <v>3666</v>
      </c>
      <c r="E853" s="525">
        <v>469.93599999999998</v>
      </c>
    </row>
    <row r="854" spans="1:5">
      <c r="A854" s="536">
        <f t="shared" si="15"/>
        <v>3146</v>
      </c>
      <c r="B854" s="291" t="s">
        <v>164</v>
      </c>
      <c r="C854" s="291" t="s">
        <v>164</v>
      </c>
      <c r="D854" s="501" t="s">
        <v>3666</v>
      </c>
      <c r="E854" s="525">
        <v>544.31799999999998</v>
      </c>
    </row>
    <row r="855" spans="1:5">
      <c r="A855" s="599"/>
      <c r="B855" s="600">
        <v>0</v>
      </c>
      <c r="C855" s="600">
        <v>0</v>
      </c>
      <c r="D855" s="601">
        <v>0</v>
      </c>
      <c r="E855" s="602">
        <v>0</v>
      </c>
    </row>
    <row r="856" spans="1:5">
      <c r="A856" s="536">
        <v>3147</v>
      </c>
      <c r="B856" s="291" t="s">
        <v>165</v>
      </c>
      <c r="C856" s="291" t="s">
        <v>165</v>
      </c>
      <c r="D856" s="501" t="s">
        <v>3666</v>
      </c>
      <c r="E856" s="525">
        <v>3320.625</v>
      </c>
    </row>
    <row r="857" spans="1:5">
      <c r="A857" s="536">
        <f>A856+1</f>
        <v>3148</v>
      </c>
      <c r="B857" s="291" t="s">
        <v>166</v>
      </c>
      <c r="C857" s="291" t="s">
        <v>166</v>
      </c>
      <c r="D857" s="501" t="s">
        <v>3666</v>
      </c>
      <c r="E857" s="525">
        <v>3380.1374999999998</v>
      </c>
    </row>
    <row r="858" spans="1:5">
      <c r="A858" s="536">
        <f t="shared" ref="A858:A863" si="16">A857+1</f>
        <v>3149</v>
      </c>
      <c r="B858" s="291" t="s">
        <v>167</v>
      </c>
      <c r="C858" s="291" t="s">
        <v>167</v>
      </c>
      <c r="D858" s="501" t="s">
        <v>3666</v>
      </c>
      <c r="E858" s="525">
        <v>3499.1624999999999</v>
      </c>
    </row>
    <row r="859" spans="1:5">
      <c r="A859" s="536">
        <f t="shared" si="16"/>
        <v>3150</v>
      </c>
      <c r="B859" s="291" t="s">
        <v>168</v>
      </c>
      <c r="C859" s="291" t="s">
        <v>168</v>
      </c>
      <c r="D859" s="501" t="s">
        <v>3666</v>
      </c>
      <c r="E859" s="525">
        <v>3677.7</v>
      </c>
    </row>
    <row r="860" spans="1:5">
      <c r="A860" s="536">
        <f t="shared" si="16"/>
        <v>3151</v>
      </c>
      <c r="B860" s="291" t="s">
        <v>169</v>
      </c>
      <c r="C860" s="291" t="s">
        <v>169</v>
      </c>
      <c r="D860" s="501" t="s">
        <v>3666</v>
      </c>
      <c r="E860" s="525">
        <v>4295.25</v>
      </c>
    </row>
    <row r="861" spans="1:5">
      <c r="A861" s="536">
        <f t="shared" si="16"/>
        <v>3152</v>
      </c>
      <c r="B861" s="291" t="s">
        <v>170</v>
      </c>
      <c r="C861" s="291" t="s">
        <v>170</v>
      </c>
      <c r="D861" s="501" t="s">
        <v>3666</v>
      </c>
      <c r="E861" s="525">
        <v>2614.8125</v>
      </c>
    </row>
    <row r="862" spans="1:5">
      <c r="A862" s="536">
        <f t="shared" si="16"/>
        <v>3153</v>
      </c>
      <c r="B862" s="291" t="s">
        <v>171</v>
      </c>
      <c r="C862" s="291" t="s">
        <v>171</v>
      </c>
      <c r="D862" s="501" t="s">
        <v>3666</v>
      </c>
      <c r="E862" s="525">
        <v>2971.8874999999998</v>
      </c>
    </row>
    <row r="863" spans="1:5">
      <c r="A863" s="536">
        <f t="shared" si="16"/>
        <v>3154</v>
      </c>
      <c r="B863" s="291" t="s">
        <v>172</v>
      </c>
      <c r="C863" s="291" t="s">
        <v>172</v>
      </c>
      <c r="D863" s="501" t="s">
        <v>3666</v>
      </c>
      <c r="E863" s="525">
        <v>3328.9625000000001</v>
      </c>
    </row>
    <row r="864" spans="1:5">
      <c r="A864" s="599"/>
      <c r="B864" s="600">
        <v>0</v>
      </c>
      <c r="C864" s="600">
        <v>0</v>
      </c>
      <c r="D864" s="601">
        <v>0</v>
      </c>
      <c r="E864" s="602">
        <v>0</v>
      </c>
    </row>
    <row r="865" spans="1:5" ht="25.5">
      <c r="A865" s="536">
        <v>3155</v>
      </c>
      <c r="B865" s="291" t="s">
        <v>51</v>
      </c>
      <c r="C865" s="291" t="s">
        <v>51</v>
      </c>
      <c r="D865" s="501" t="s">
        <v>3666</v>
      </c>
      <c r="E865" s="525">
        <v>278.72549999999995</v>
      </c>
    </row>
    <row r="866" spans="1:5">
      <c r="A866" s="536">
        <f>A865+1</f>
        <v>3156</v>
      </c>
      <c r="B866" s="291" t="s">
        <v>52</v>
      </c>
      <c r="C866" s="291" t="s">
        <v>52</v>
      </c>
      <c r="D866" s="501" t="s">
        <v>3666</v>
      </c>
      <c r="E866" s="525">
        <v>955.09800000000018</v>
      </c>
    </row>
    <row r="867" spans="1:5">
      <c r="A867" s="536">
        <f t="shared" ref="A867:A887" si="17">A866+1</f>
        <v>3157</v>
      </c>
      <c r="B867" s="291" t="s">
        <v>53</v>
      </c>
      <c r="C867" s="291" t="s">
        <v>53</v>
      </c>
      <c r="D867" s="501" t="s">
        <v>3666</v>
      </c>
      <c r="E867" s="525">
        <v>332.29250000000002</v>
      </c>
    </row>
    <row r="868" spans="1:5">
      <c r="A868" s="536">
        <f t="shared" si="17"/>
        <v>3158</v>
      </c>
      <c r="B868" s="291" t="s">
        <v>173</v>
      </c>
      <c r="C868" s="291" t="s">
        <v>173</v>
      </c>
      <c r="D868" s="501" t="s">
        <v>3666</v>
      </c>
      <c r="E868" s="525">
        <v>1082.1500000000001</v>
      </c>
    </row>
    <row r="869" spans="1:5">
      <c r="A869" s="536">
        <f t="shared" si="17"/>
        <v>3159</v>
      </c>
      <c r="B869" s="291" t="s">
        <v>174</v>
      </c>
      <c r="C869" s="291" t="s">
        <v>174</v>
      </c>
      <c r="D869" s="501" t="s">
        <v>3666</v>
      </c>
      <c r="E869" s="525">
        <v>1651.4</v>
      </c>
    </row>
    <row r="870" spans="1:5" ht="25.5">
      <c r="A870" s="536">
        <f t="shared" si="17"/>
        <v>3160</v>
      </c>
      <c r="B870" s="291" t="s">
        <v>175</v>
      </c>
      <c r="C870" s="291" t="s">
        <v>175</v>
      </c>
      <c r="D870" s="501" t="s">
        <v>3666</v>
      </c>
      <c r="E870" s="525">
        <v>338.23799999999994</v>
      </c>
    </row>
    <row r="871" spans="1:5">
      <c r="A871" s="536">
        <f t="shared" si="17"/>
        <v>3161</v>
      </c>
      <c r="B871" s="291" t="s">
        <v>176</v>
      </c>
      <c r="C871" s="291" t="s">
        <v>176</v>
      </c>
      <c r="D871" s="501" t="s">
        <v>3666</v>
      </c>
      <c r="E871" s="525">
        <v>487.02499999999998</v>
      </c>
    </row>
    <row r="872" spans="1:5" ht="25.5">
      <c r="A872" s="536">
        <f t="shared" si="17"/>
        <v>3162</v>
      </c>
      <c r="B872" s="291" t="s">
        <v>1448</v>
      </c>
      <c r="C872" s="291" t="s">
        <v>1448</v>
      </c>
      <c r="D872" s="501" t="s">
        <v>3666</v>
      </c>
      <c r="E872" s="525">
        <v>1022.6375</v>
      </c>
    </row>
    <row r="873" spans="1:5" ht="25.5">
      <c r="A873" s="536">
        <f t="shared" si="17"/>
        <v>3163</v>
      </c>
      <c r="B873" s="291" t="s">
        <v>1449</v>
      </c>
      <c r="C873" s="291" t="s">
        <v>1449</v>
      </c>
      <c r="D873" s="501" t="s">
        <v>3666</v>
      </c>
      <c r="E873" s="525">
        <v>1349.9505000000001</v>
      </c>
    </row>
    <row r="874" spans="1:5" ht="25.5">
      <c r="A874" s="536">
        <f t="shared" si="17"/>
        <v>3164</v>
      </c>
      <c r="B874" s="291" t="s">
        <v>1450</v>
      </c>
      <c r="C874" s="291" t="s">
        <v>1450</v>
      </c>
      <c r="D874" s="501" t="s">
        <v>3666</v>
      </c>
      <c r="E874" s="525">
        <v>725.07500000000005</v>
      </c>
    </row>
    <row r="875" spans="1:5" ht="25.5">
      <c r="A875" s="536">
        <f t="shared" si="17"/>
        <v>3165</v>
      </c>
      <c r="B875" s="291" t="s">
        <v>1451</v>
      </c>
      <c r="C875" s="291" t="s">
        <v>1451</v>
      </c>
      <c r="D875" s="501" t="s">
        <v>3666</v>
      </c>
      <c r="E875" s="525">
        <v>3758.7750000000001</v>
      </c>
    </row>
    <row r="876" spans="1:5" ht="25.5">
      <c r="A876" s="536">
        <f t="shared" si="17"/>
        <v>3166</v>
      </c>
      <c r="B876" s="291" t="s">
        <v>1452</v>
      </c>
      <c r="C876" s="291" t="s">
        <v>1452</v>
      </c>
      <c r="D876" s="501" t="s">
        <v>3666</v>
      </c>
      <c r="E876" s="525">
        <v>4205.1129999999994</v>
      </c>
    </row>
    <row r="877" spans="1:5" ht="25.5">
      <c r="A877" s="536">
        <f t="shared" si="17"/>
        <v>3167</v>
      </c>
      <c r="B877" s="291" t="s">
        <v>576</v>
      </c>
      <c r="C877" s="291" t="s">
        <v>576</v>
      </c>
      <c r="D877" s="501" t="s">
        <v>3666</v>
      </c>
      <c r="E877" s="525">
        <v>1765.1005</v>
      </c>
    </row>
    <row r="878" spans="1:5" ht="25.5">
      <c r="A878" s="536">
        <f t="shared" si="17"/>
        <v>3168</v>
      </c>
      <c r="B878" s="291" t="s">
        <v>577</v>
      </c>
      <c r="C878" s="291" t="s">
        <v>577</v>
      </c>
      <c r="D878" s="501" t="s">
        <v>3666</v>
      </c>
      <c r="E878" s="525">
        <v>3312.4254999999998</v>
      </c>
    </row>
    <row r="879" spans="1:5">
      <c r="A879" s="536">
        <f t="shared" si="17"/>
        <v>3169</v>
      </c>
      <c r="B879" s="291" t="s">
        <v>578</v>
      </c>
      <c r="C879" s="291" t="s">
        <v>578</v>
      </c>
      <c r="D879" s="501" t="s">
        <v>3666</v>
      </c>
      <c r="E879" s="525">
        <v>1022.6375</v>
      </c>
    </row>
    <row r="880" spans="1:5">
      <c r="A880" s="536">
        <f t="shared" si="17"/>
        <v>3170</v>
      </c>
      <c r="B880" s="291" t="s">
        <v>54</v>
      </c>
      <c r="C880" s="291" t="s">
        <v>54</v>
      </c>
      <c r="D880" s="501" t="s">
        <v>3666</v>
      </c>
      <c r="E880" s="525">
        <v>2151.9375</v>
      </c>
    </row>
    <row r="881" spans="1:5">
      <c r="A881" s="536">
        <f t="shared" si="17"/>
        <v>3171</v>
      </c>
      <c r="B881" s="291" t="s">
        <v>55</v>
      </c>
      <c r="C881" s="291" t="s">
        <v>55</v>
      </c>
      <c r="D881" s="501" t="s">
        <v>3666</v>
      </c>
      <c r="E881" s="525">
        <v>12626.137500000001</v>
      </c>
    </row>
    <row r="882" spans="1:5">
      <c r="A882" s="536">
        <f t="shared" si="17"/>
        <v>3172</v>
      </c>
      <c r="B882" s="291" t="s">
        <v>56</v>
      </c>
      <c r="C882" s="291" t="s">
        <v>56</v>
      </c>
      <c r="D882" s="501" t="s">
        <v>3666</v>
      </c>
      <c r="E882" s="525">
        <v>17625.1875</v>
      </c>
    </row>
    <row r="883" spans="1:5">
      <c r="A883" s="536">
        <f t="shared" si="17"/>
        <v>3173</v>
      </c>
      <c r="B883" s="291" t="s">
        <v>579</v>
      </c>
      <c r="C883" s="291" t="s">
        <v>579</v>
      </c>
      <c r="D883" s="501" t="s">
        <v>3666</v>
      </c>
      <c r="E883" s="525">
        <v>9563.6990000000005</v>
      </c>
    </row>
    <row r="884" spans="1:5">
      <c r="A884" s="536">
        <f t="shared" si="17"/>
        <v>3174</v>
      </c>
      <c r="B884" s="291" t="s">
        <v>580</v>
      </c>
      <c r="C884" s="291" t="s">
        <v>580</v>
      </c>
      <c r="D884" s="501" t="s">
        <v>3666</v>
      </c>
      <c r="E884" s="525">
        <v>7705.7129999999997</v>
      </c>
    </row>
    <row r="885" spans="1:5">
      <c r="A885" s="536">
        <f t="shared" si="17"/>
        <v>3175</v>
      </c>
      <c r="B885" s="291" t="s">
        <v>581</v>
      </c>
      <c r="C885" s="291" t="s">
        <v>581</v>
      </c>
      <c r="D885" s="501" t="s">
        <v>3459</v>
      </c>
      <c r="E885" s="525">
        <v>179.45750000000001</v>
      </c>
    </row>
    <row r="886" spans="1:5">
      <c r="A886" s="536">
        <f t="shared" si="17"/>
        <v>3176</v>
      </c>
      <c r="B886" s="291" t="s">
        <v>57</v>
      </c>
      <c r="C886" s="291" t="s">
        <v>57</v>
      </c>
      <c r="D886" s="501" t="s">
        <v>3666</v>
      </c>
      <c r="E886" s="525">
        <v>38.478999999999999</v>
      </c>
    </row>
    <row r="887" spans="1:5">
      <c r="A887" s="536">
        <f t="shared" si="17"/>
        <v>3177</v>
      </c>
      <c r="B887" s="291" t="s">
        <v>58</v>
      </c>
      <c r="C887" s="291" t="s">
        <v>58</v>
      </c>
      <c r="D887" s="501" t="s">
        <v>3666</v>
      </c>
      <c r="E887" s="525">
        <v>148.49950000000001</v>
      </c>
    </row>
    <row r="888" spans="1:5">
      <c r="A888" s="599"/>
      <c r="B888" s="600">
        <v>0</v>
      </c>
      <c r="C888" s="600">
        <v>0</v>
      </c>
      <c r="D888" s="601">
        <v>0</v>
      </c>
      <c r="E888" s="602">
        <v>0</v>
      </c>
    </row>
    <row r="889" spans="1:5">
      <c r="A889" s="536">
        <v>3178</v>
      </c>
      <c r="B889" s="291" t="s">
        <v>59</v>
      </c>
      <c r="C889" s="291" t="s">
        <v>59</v>
      </c>
      <c r="D889" s="501" t="s">
        <v>3666</v>
      </c>
      <c r="E889" s="525">
        <v>1918.1885000000002</v>
      </c>
    </row>
    <row r="890" spans="1:5">
      <c r="A890" s="536">
        <v>3179</v>
      </c>
      <c r="B890" s="291" t="s">
        <v>60</v>
      </c>
      <c r="C890" s="291" t="s">
        <v>60</v>
      </c>
      <c r="D890" s="501" t="s">
        <v>1251</v>
      </c>
      <c r="E890" s="525">
        <v>2835.9919999999997</v>
      </c>
    </row>
    <row r="891" spans="1:5">
      <c r="A891" s="599"/>
      <c r="B891" s="600">
        <v>0</v>
      </c>
      <c r="C891" s="600">
        <v>0</v>
      </c>
      <c r="D891" s="601">
        <v>0</v>
      </c>
      <c r="E891" s="602">
        <v>0</v>
      </c>
    </row>
    <row r="892" spans="1:5" ht="63.75">
      <c r="A892" s="536">
        <v>3180</v>
      </c>
      <c r="B892" s="291" t="s">
        <v>582</v>
      </c>
      <c r="C892" s="291" t="s">
        <v>582</v>
      </c>
      <c r="D892" s="501" t="s">
        <v>3666</v>
      </c>
      <c r="E892" s="525">
        <v>15980.4</v>
      </c>
    </row>
    <row r="893" spans="1:5" ht="51">
      <c r="A893" s="536">
        <f>A892+1</f>
        <v>3181</v>
      </c>
      <c r="B893" s="291" t="s">
        <v>583</v>
      </c>
      <c r="C893" s="291" t="s">
        <v>583</v>
      </c>
      <c r="D893" s="501" t="s">
        <v>3666</v>
      </c>
      <c r="E893" s="525">
        <v>14916.316500000001</v>
      </c>
    </row>
    <row r="894" spans="1:5" ht="38.25">
      <c r="A894" s="536">
        <f>A893+1</f>
        <v>3182</v>
      </c>
      <c r="B894" s="291" t="s">
        <v>584</v>
      </c>
      <c r="C894" s="291" t="s">
        <v>584</v>
      </c>
      <c r="D894" s="501" t="s">
        <v>1251</v>
      </c>
      <c r="E894" s="525">
        <v>15409.08</v>
      </c>
    </row>
    <row r="895" spans="1:5">
      <c r="A895" s="599"/>
      <c r="B895" s="600">
        <v>0</v>
      </c>
      <c r="C895" s="600">
        <v>0</v>
      </c>
      <c r="D895" s="601">
        <v>0</v>
      </c>
      <c r="E895" s="602">
        <v>0</v>
      </c>
    </row>
    <row r="896" spans="1:5">
      <c r="A896" s="536"/>
      <c r="B896" s="291" t="s">
        <v>585</v>
      </c>
      <c r="C896" s="291" t="s">
        <v>585</v>
      </c>
      <c r="D896" s="501"/>
      <c r="E896" s="525"/>
    </row>
    <row r="897" spans="1:5">
      <c r="A897" s="536">
        <v>3183</v>
      </c>
      <c r="B897" s="291" t="s">
        <v>61</v>
      </c>
      <c r="C897" s="291" t="s">
        <v>61</v>
      </c>
      <c r="D897" s="501" t="s">
        <v>3459</v>
      </c>
      <c r="E897" s="525">
        <v>29.782125000000001</v>
      </c>
    </row>
    <row r="898" spans="1:5">
      <c r="A898" s="536">
        <f>A897+1</f>
        <v>3184</v>
      </c>
      <c r="B898" s="291" t="s">
        <v>1024</v>
      </c>
      <c r="C898" s="291" t="s">
        <v>1024</v>
      </c>
      <c r="D898" s="501" t="s">
        <v>3459</v>
      </c>
      <c r="E898" s="525">
        <v>36.946624999999997</v>
      </c>
    </row>
    <row r="899" spans="1:5">
      <c r="A899" s="536">
        <f>A898+1</f>
        <v>3185</v>
      </c>
      <c r="B899" s="291" t="s">
        <v>1025</v>
      </c>
      <c r="C899" s="291" t="s">
        <v>1025</v>
      </c>
      <c r="D899" s="501" t="s">
        <v>3459</v>
      </c>
      <c r="E899" s="525">
        <v>48.170625000000001</v>
      </c>
    </row>
    <row r="900" spans="1:5">
      <c r="A900" s="536">
        <f>A899+1</f>
        <v>3186</v>
      </c>
      <c r="B900" s="291" t="s">
        <v>1026</v>
      </c>
      <c r="C900" s="291" t="s">
        <v>1026</v>
      </c>
      <c r="D900" s="501" t="s">
        <v>3459</v>
      </c>
      <c r="E900" s="525">
        <v>68.471000000000004</v>
      </c>
    </row>
    <row r="901" spans="1:5">
      <c r="A901" s="536">
        <f>A900+1</f>
        <v>3187</v>
      </c>
      <c r="B901" s="291" t="s">
        <v>1027</v>
      </c>
      <c r="C901" s="291" t="s">
        <v>1027</v>
      </c>
      <c r="D901" s="501" t="s">
        <v>3459</v>
      </c>
      <c r="E901" s="525">
        <v>95.277500000000003</v>
      </c>
    </row>
    <row r="902" spans="1:5">
      <c r="A902" s="536">
        <f>A901+1</f>
        <v>3188</v>
      </c>
      <c r="B902" s="291" t="s">
        <v>1028</v>
      </c>
      <c r="C902" s="291" t="s">
        <v>1028</v>
      </c>
      <c r="D902" s="501" t="s">
        <v>3459</v>
      </c>
      <c r="E902" s="525">
        <v>171.17750000000001</v>
      </c>
    </row>
    <row r="903" spans="1:5">
      <c r="A903" s="599"/>
      <c r="B903" s="600">
        <v>0</v>
      </c>
      <c r="C903" s="600">
        <v>0</v>
      </c>
      <c r="D903" s="601">
        <v>0</v>
      </c>
      <c r="E903" s="602">
        <v>0</v>
      </c>
    </row>
    <row r="904" spans="1:5">
      <c r="A904" s="536"/>
      <c r="B904" s="291" t="s">
        <v>585</v>
      </c>
      <c r="C904" s="291" t="s">
        <v>585</v>
      </c>
      <c r="D904" s="501">
        <v>0</v>
      </c>
      <c r="E904" s="525">
        <v>0</v>
      </c>
    </row>
    <row r="905" spans="1:5">
      <c r="A905" s="536">
        <v>3189</v>
      </c>
      <c r="B905" s="291" t="s">
        <v>586</v>
      </c>
      <c r="C905" s="291" t="s">
        <v>586</v>
      </c>
      <c r="D905" s="501" t="s">
        <v>3459</v>
      </c>
      <c r="E905" s="525">
        <v>35.187125000000002</v>
      </c>
    </row>
    <row r="906" spans="1:5">
      <c r="A906" s="536">
        <f>A905+1</f>
        <v>3190</v>
      </c>
      <c r="B906" s="291" t="s">
        <v>587</v>
      </c>
      <c r="C906" s="291" t="s">
        <v>587</v>
      </c>
      <c r="D906" s="501" t="s">
        <v>3459</v>
      </c>
      <c r="E906" s="525">
        <v>45.732624999999999</v>
      </c>
    </row>
    <row r="907" spans="1:5">
      <c r="A907" s="536">
        <f>A906+1</f>
        <v>3191</v>
      </c>
      <c r="B907" s="291" t="s">
        <v>588</v>
      </c>
      <c r="C907" s="291" t="s">
        <v>588</v>
      </c>
      <c r="D907" s="501" t="s">
        <v>3459</v>
      </c>
      <c r="E907" s="525">
        <v>62.499624999999995</v>
      </c>
    </row>
    <row r="908" spans="1:5">
      <c r="A908" s="536">
        <f>A907+1</f>
        <v>3192</v>
      </c>
      <c r="B908" s="291" t="s">
        <v>589</v>
      </c>
      <c r="C908" s="291" t="s">
        <v>589</v>
      </c>
      <c r="D908" s="501" t="s">
        <v>3459</v>
      </c>
      <c r="E908" s="525">
        <v>90.597000000000008</v>
      </c>
    </row>
    <row r="909" spans="1:5">
      <c r="A909" s="536">
        <f>A908+1</f>
        <v>3193</v>
      </c>
      <c r="B909" s="291" t="s">
        <v>590</v>
      </c>
      <c r="C909" s="291" t="s">
        <v>590</v>
      </c>
      <c r="D909" s="501" t="s">
        <v>3459</v>
      </c>
      <c r="E909" s="525">
        <v>136.79249999999999</v>
      </c>
    </row>
    <row r="910" spans="1:5">
      <c r="A910" s="599"/>
      <c r="B910" s="600">
        <v>0</v>
      </c>
      <c r="C910" s="600">
        <v>0</v>
      </c>
      <c r="D910" s="601">
        <v>0</v>
      </c>
      <c r="E910" s="602">
        <v>0</v>
      </c>
    </row>
    <row r="911" spans="1:5">
      <c r="A911" s="536"/>
      <c r="B911" s="291" t="s">
        <v>591</v>
      </c>
      <c r="C911" s="291" t="s">
        <v>591</v>
      </c>
      <c r="D911" s="501">
        <v>0</v>
      </c>
      <c r="E911" s="525">
        <v>0</v>
      </c>
    </row>
    <row r="912" spans="1:5">
      <c r="A912" s="536">
        <v>3194</v>
      </c>
      <c r="B912" s="291" t="s">
        <v>1029</v>
      </c>
      <c r="C912" s="291" t="s">
        <v>1029</v>
      </c>
      <c r="D912" s="501" t="s">
        <v>3459</v>
      </c>
      <c r="E912" s="525">
        <v>30.929250000000003</v>
      </c>
    </row>
    <row r="913" spans="1:5">
      <c r="A913" s="536">
        <f t="shared" ref="A913:A918" si="18">A912+1</f>
        <v>3195</v>
      </c>
      <c r="B913" s="291" t="s">
        <v>61</v>
      </c>
      <c r="C913" s="291" t="s">
        <v>61</v>
      </c>
      <c r="D913" s="501" t="s">
        <v>3459</v>
      </c>
      <c r="E913" s="525">
        <v>32.941749999999999</v>
      </c>
    </row>
    <row r="914" spans="1:5">
      <c r="A914" s="536">
        <f t="shared" si="18"/>
        <v>3196</v>
      </c>
      <c r="B914" s="291" t="s">
        <v>1024</v>
      </c>
      <c r="C914" s="291" t="s">
        <v>1024</v>
      </c>
      <c r="D914" s="501" t="s">
        <v>3459</v>
      </c>
      <c r="E914" s="525">
        <v>40.106250000000003</v>
      </c>
    </row>
    <row r="915" spans="1:5">
      <c r="A915" s="536">
        <f t="shared" si="18"/>
        <v>3197</v>
      </c>
      <c r="B915" s="291" t="s">
        <v>1025</v>
      </c>
      <c r="C915" s="291" t="s">
        <v>1025</v>
      </c>
      <c r="D915" s="501" t="s">
        <v>3459</v>
      </c>
      <c r="E915" s="525">
        <v>54.714125000000003</v>
      </c>
    </row>
    <row r="916" spans="1:5">
      <c r="A916" s="536">
        <f t="shared" si="18"/>
        <v>3198</v>
      </c>
      <c r="B916" s="291" t="s">
        <v>1026</v>
      </c>
      <c r="C916" s="291" t="s">
        <v>1026</v>
      </c>
      <c r="D916" s="501" t="s">
        <v>3459</v>
      </c>
      <c r="E916" s="525">
        <v>71.642124999999993</v>
      </c>
    </row>
    <row r="917" spans="1:5">
      <c r="A917" s="536">
        <f t="shared" si="18"/>
        <v>3199</v>
      </c>
      <c r="B917" s="291" t="s">
        <v>1027</v>
      </c>
      <c r="C917" s="291" t="s">
        <v>1027</v>
      </c>
      <c r="D917" s="501" t="s">
        <v>3459</v>
      </c>
      <c r="E917" s="525">
        <v>96.700625000000002</v>
      </c>
    </row>
    <row r="918" spans="1:5">
      <c r="A918" s="536">
        <f t="shared" si="18"/>
        <v>3200</v>
      </c>
      <c r="B918" s="291" t="s">
        <v>1028</v>
      </c>
      <c r="C918" s="291" t="s">
        <v>1028</v>
      </c>
      <c r="D918" s="501" t="s">
        <v>3459</v>
      </c>
      <c r="E918" s="525">
        <v>185.863</v>
      </c>
    </row>
    <row r="919" spans="1:5">
      <c r="A919" s="536"/>
      <c r="B919" s="291" t="s">
        <v>592</v>
      </c>
      <c r="C919" s="291" t="s">
        <v>592</v>
      </c>
      <c r="D919" s="501">
        <v>0</v>
      </c>
      <c r="E919" s="525">
        <v>0</v>
      </c>
    </row>
    <row r="920" spans="1:5">
      <c r="A920" s="536"/>
      <c r="B920" s="291" t="s">
        <v>591</v>
      </c>
      <c r="C920" s="291" t="s">
        <v>591</v>
      </c>
      <c r="D920" s="501">
        <v>0</v>
      </c>
      <c r="E920" s="525">
        <v>0</v>
      </c>
    </row>
    <row r="921" spans="1:5">
      <c r="A921" s="536">
        <v>3201</v>
      </c>
      <c r="B921" s="291" t="s">
        <v>586</v>
      </c>
      <c r="C921" s="291" t="s">
        <v>586</v>
      </c>
      <c r="D921" s="501" t="s">
        <v>3459</v>
      </c>
      <c r="E921" s="525">
        <v>38.34675</v>
      </c>
    </row>
    <row r="922" spans="1:5">
      <c r="A922" s="536">
        <f>A921+1</f>
        <v>3202</v>
      </c>
      <c r="B922" s="291" t="s">
        <v>587</v>
      </c>
      <c r="C922" s="291" t="s">
        <v>587</v>
      </c>
      <c r="D922" s="501" t="s">
        <v>3459</v>
      </c>
      <c r="E922" s="525">
        <v>48.892250000000004</v>
      </c>
    </row>
    <row r="923" spans="1:5">
      <c r="A923" s="536">
        <f>A922+1</f>
        <v>3203</v>
      </c>
      <c r="B923" s="291" t="s">
        <v>588</v>
      </c>
      <c r="C923" s="291" t="s">
        <v>588</v>
      </c>
      <c r="D923" s="501" t="s">
        <v>3459</v>
      </c>
      <c r="E923" s="525">
        <v>69.043125000000003</v>
      </c>
    </row>
    <row r="924" spans="1:5">
      <c r="A924" s="536">
        <f>A923+1</f>
        <v>3204</v>
      </c>
      <c r="B924" s="291" t="s">
        <v>589</v>
      </c>
      <c r="C924" s="291" t="s">
        <v>589</v>
      </c>
      <c r="D924" s="501" t="s">
        <v>3459</v>
      </c>
      <c r="E924" s="525">
        <v>93.768124999999998</v>
      </c>
    </row>
    <row r="925" spans="1:5">
      <c r="A925" s="536">
        <f>A924+1</f>
        <v>3205</v>
      </c>
      <c r="B925" s="291" t="s">
        <v>590</v>
      </c>
      <c r="C925" s="291" t="s">
        <v>590</v>
      </c>
      <c r="D925" s="501" t="s">
        <v>3459</v>
      </c>
      <c r="E925" s="525">
        <v>138.21562499999999</v>
      </c>
    </row>
    <row r="926" spans="1:5">
      <c r="A926" s="599"/>
      <c r="B926" s="600">
        <v>0</v>
      </c>
      <c r="C926" s="600">
        <v>0</v>
      </c>
      <c r="D926" s="601">
        <v>0</v>
      </c>
      <c r="E926" s="602">
        <v>0</v>
      </c>
    </row>
    <row r="927" spans="1:5">
      <c r="A927" s="536">
        <v>3206</v>
      </c>
      <c r="B927" s="291" t="s">
        <v>593</v>
      </c>
      <c r="C927" s="291" t="s">
        <v>593</v>
      </c>
      <c r="D927" s="501" t="s">
        <v>3459</v>
      </c>
      <c r="E927" s="525">
        <v>294.224625</v>
      </c>
    </row>
    <row r="928" spans="1:5">
      <c r="A928" s="536">
        <f t="shared" ref="A928:A933" si="19">A927+1</f>
        <v>3207</v>
      </c>
      <c r="B928" s="291" t="s">
        <v>594</v>
      </c>
      <c r="C928" s="291" t="s">
        <v>594</v>
      </c>
      <c r="D928" s="501" t="s">
        <v>3459</v>
      </c>
      <c r="E928" s="525">
        <v>402.339</v>
      </c>
    </row>
    <row r="929" spans="1:5">
      <c r="A929" s="536">
        <f t="shared" si="19"/>
        <v>3208</v>
      </c>
      <c r="B929" s="291" t="s">
        <v>595</v>
      </c>
      <c r="C929" s="291" t="s">
        <v>595</v>
      </c>
      <c r="D929" s="501" t="s">
        <v>3459</v>
      </c>
      <c r="E929" s="525">
        <v>561.83249999999998</v>
      </c>
    </row>
    <row r="930" spans="1:5">
      <c r="A930" s="536">
        <f t="shared" si="19"/>
        <v>3209</v>
      </c>
      <c r="B930" s="291" t="s">
        <v>596</v>
      </c>
      <c r="C930" s="291" t="s">
        <v>596</v>
      </c>
      <c r="D930" s="501" t="s">
        <v>3459</v>
      </c>
      <c r="E930" s="525">
        <v>842.28300000000002</v>
      </c>
    </row>
    <row r="931" spans="1:5">
      <c r="A931" s="536">
        <f t="shared" si="19"/>
        <v>3210</v>
      </c>
      <c r="B931" s="291" t="s">
        <v>597</v>
      </c>
      <c r="C931" s="291" t="s">
        <v>597</v>
      </c>
      <c r="D931" s="501" t="s">
        <v>3459</v>
      </c>
      <c r="E931" s="525">
        <v>1255.3054999999999</v>
      </c>
    </row>
    <row r="932" spans="1:5">
      <c r="A932" s="536">
        <f t="shared" si="19"/>
        <v>3211</v>
      </c>
      <c r="B932" s="291" t="s">
        <v>598</v>
      </c>
      <c r="C932" s="291" t="s">
        <v>598</v>
      </c>
      <c r="D932" s="501" t="s">
        <v>3459</v>
      </c>
      <c r="E932" s="525">
        <v>201.38512500000002</v>
      </c>
    </row>
    <row r="933" spans="1:5">
      <c r="A933" s="536">
        <f t="shared" si="19"/>
        <v>3212</v>
      </c>
      <c r="B933" s="291" t="s">
        <v>599</v>
      </c>
      <c r="C933" s="291" t="s">
        <v>599</v>
      </c>
      <c r="D933" s="501" t="s">
        <v>3459</v>
      </c>
      <c r="E933" s="525">
        <v>67.125500000000002</v>
      </c>
    </row>
    <row r="934" spans="1:5">
      <c r="A934" s="599"/>
      <c r="B934" s="600">
        <v>0</v>
      </c>
      <c r="C934" s="600">
        <v>0</v>
      </c>
      <c r="D934" s="601">
        <v>0</v>
      </c>
      <c r="E934" s="602">
        <v>0</v>
      </c>
    </row>
    <row r="935" spans="1:5">
      <c r="A935" s="536">
        <v>3213</v>
      </c>
      <c r="B935" s="291" t="s">
        <v>593</v>
      </c>
      <c r="C935" s="291" t="s">
        <v>593</v>
      </c>
      <c r="D935" s="501" t="s">
        <v>3459</v>
      </c>
      <c r="E935" s="525">
        <v>241.85362499999999</v>
      </c>
    </row>
    <row r="936" spans="1:5">
      <c r="A936" s="536">
        <f>A935+1</f>
        <v>3214</v>
      </c>
      <c r="B936" s="291" t="s">
        <v>594</v>
      </c>
      <c r="C936" s="291" t="s">
        <v>594</v>
      </c>
      <c r="D936" s="501" t="s">
        <v>3459</v>
      </c>
      <c r="E936" s="525">
        <v>329.935</v>
      </c>
    </row>
    <row r="937" spans="1:5">
      <c r="A937" s="536">
        <f>A936+1</f>
        <v>3215</v>
      </c>
      <c r="B937" s="291" t="s">
        <v>595</v>
      </c>
      <c r="C937" s="291" t="s">
        <v>595</v>
      </c>
      <c r="D937" s="501" t="s">
        <v>3459</v>
      </c>
      <c r="E937" s="525">
        <v>514.22249999999997</v>
      </c>
    </row>
    <row r="938" spans="1:5">
      <c r="A938" s="536">
        <f>A937+1</f>
        <v>3216</v>
      </c>
      <c r="B938" s="291" t="s">
        <v>596</v>
      </c>
      <c r="C938" s="291" t="s">
        <v>596</v>
      </c>
      <c r="D938" s="501" t="s">
        <v>3459</v>
      </c>
      <c r="E938" s="525">
        <v>794.673</v>
      </c>
    </row>
    <row r="939" spans="1:5">
      <c r="A939" s="536">
        <f>A938+1</f>
        <v>3217</v>
      </c>
      <c r="B939" s="291" t="s">
        <v>597</v>
      </c>
      <c r="C939" s="291" t="s">
        <v>597</v>
      </c>
      <c r="D939" s="501" t="s">
        <v>3459</v>
      </c>
      <c r="E939" s="525">
        <v>1203.153</v>
      </c>
    </row>
    <row r="940" spans="1:5">
      <c r="A940" s="599"/>
      <c r="B940" s="600">
        <v>0</v>
      </c>
      <c r="C940" s="600">
        <v>0</v>
      </c>
      <c r="D940" s="601">
        <v>0</v>
      </c>
      <c r="E940" s="602">
        <v>0</v>
      </c>
    </row>
    <row r="941" spans="1:5">
      <c r="A941" s="536">
        <v>3218</v>
      </c>
      <c r="B941" s="291" t="s">
        <v>1030</v>
      </c>
      <c r="C941" s="291" t="s">
        <v>1030</v>
      </c>
      <c r="D941" s="501" t="s">
        <v>3666</v>
      </c>
      <c r="E941" s="525">
        <v>469.93599999999998</v>
      </c>
    </row>
    <row r="942" spans="1:5">
      <c r="A942" s="536">
        <f>A941+1</f>
        <v>3219</v>
      </c>
      <c r="B942" s="291" t="s">
        <v>1031</v>
      </c>
      <c r="C942" s="291" t="s">
        <v>1031</v>
      </c>
      <c r="D942" s="501" t="s">
        <v>3459</v>
      </c>
      <c r="E942" s="525">
        <v>1709.0150000000001</v>
      </c>
    </row>
    <row r="943" spans="1:5">
      <c r="A943" s="536">
        <f>A942+1</f>
        <v>3220</v>
      </c>
      <c r="B943" s="291" t="s">
        <v>765</v>
      </c>
      <c r="C943" s="291" t="s">
        <v>765</v>
      </c>
      <c r="D943" s="501" t="s">
        <v>3459</v>
      </c>
      <c r="E943" s="525">
        <v>2458.1178125000001</v>
      </c>
    </row>
    <row r="944" spans="1:5">
      <c r="A944" s="599"/>
      <c r="B944" s="600">
        <v>0</v>
      </c>
      <c r="C944" s="600">
        <v>0</v>
      </c>
      <c r="D944" s="601">
        <v>0</v>
      </c>
      <c r="E944" s="602">
        <v>0</v>
      </c>
    </row>
    <row r="945" spans="1:5">
      <c r="A945" s="536">
        <v>3221</v>
      </c>
      <c r="B945" s="291" t="s">
        <v>412</v>
      </c>
      <c r="C945" s="291" t="s">
        <v>412</v>
      </c>
      <c r="D945" s="501" t="s">
        <v>3666</v>
      </c>
      <c r="E945" s="525">
        <v>287.40800000000002</v>
      </c>
    </row>
    <row r="946" spans="1:5">
      <c r="A946" s="536">
        <f>A945+1</f>
        <v>3222</v>
      </c>
      <c r="B946" s="291" t="s">
        <v>600</v>
      </c>
      <c r="C946" s="291" t="s">
        <v>600</v>
      </c>
      <c r="D946" s="501" t="s">
        <v>3666</v>
      </c>
      <c r="E946" s="525">
        <v>255.56450000000004</v>
      </c>
    </row>
    <row r="947" spans="1:5">
      <c r="A947" s="536">
        <f t="shared" ref="A947:A988" si="20">A946+1</f>
        <v>3223</v>
      </c>
      <c r="B947" s="291" t="s">
        <v>396</v>
      </c>
      <c r="C947" s="291" t="s">
        <v>396</v>
      </c>
      <c r="D947" s="501" t="s">
        <v>3666</v>
      </c>
      <c r="E947" s="525">
        <v>355.24649999999997</v>
      </c>
    </row>
    <row r="948" spans="1:5">
      <c r="A948" s="536">
        <f t="shared" si="20"/>
        <v>3224</v>
      </c>
      <c r="B948" s="291" t="s">
        <v>601</v>
      </c>
      <c r="C948" s="291" t="s">
        <v>601</v>
      </c>
      <c r="D948" s="501" t="s">
        <v>3666</v>
      </c>
      <c r="E948" s="525">
        <v>374.58950000000004</v>
      </c>
    </row>
    <row r="949" spans="1:5">
      <c r="A949" s="536">
        <f t="shared" si="20"/>
        <v>3225</v>
      </c>
      <c r="B949" s="291" t="s">
        <v>400</v>
      </c>
      <c r="C949" s="291" t="s">
        <v>400</v>
      </c>
      <c r="D949" s="501" t="s">
        <v>3666</v>
      </c>
      <c r="E949" s="525">
        <v>461.18450000000001</v>
      </c>
    </row>
    <row r="950" spans="1:5">
      <c r="A950" s="536">
        <f t="shared" si="20"/>
        <v>3226</v>
      </c>
      <c r="B950" s="291" t="s">
        <v>402</v>
      </c>
      <c r="C950" s="291" t="s">
        <v>402</v>
      </c>
      <c r="D950" s="501" t="s">
        <v>3666</v>
      </c>
      <c r="E950" s="525">
        <v>565.02949999999987</v>
      </c>
    </row>
    <row r="951" spans="1:5">
      <c r="A951" s="536">
        <f t="shared" si="20"/>
        <v>3227</v>
      </c>
      <c r="B951" s="291" t="s">
        <v>462</v>
      </c>
      <c r="C951" s="291" t="s">
        <v>462</v>
      </c>
      <c r="D951" s="501" t="s">
        <v>3666</v>
      </c>
      <c r="E951" s="525">
        <v>568.38750000000005</v>
      </c>
    </row>
    <row r="952" spans="1:5">
      <c r="A952" s="536">
        <f t="shared" si="20"/>
        <v>3228</v>
      </c>
      <c r="B952" s="291" t="s">
        <v>463</v>
      </c>
      <c r="C952" s="291" t="s">
        <v>463</v>
      </c>
      <c r="D952" s="501" t="s">
        <v>3666</v>
      </c>
      <c r="E952" s="525">
        <v>446.00450000000001</v>
      </c>
    </row>
    <row r="953" spans="1:5">
      <c r="A953" s="536">
        <f t="shared" si="20"/>
        <v>3229</v>
      </c>
      <c r="B953" s="291" t="s">
        <v>464</v>
      </c>
      <c r="C953" s="291" t="s">
        <v>464</v>
      </c>
      <c r="D953" s="501" t="s">
        <v>3666</v>
      </c>
      <c r="E953" s="525">
        <v>545.88199999999995</v>
      </c>
    </row>
    <row r="954" spans="1:5">
      <c r="A954" s="536">
        <f t="shared" si="20"/>
        <v>3230</v>
      </c>
      <c r="B954" s="291" t="s">
        <v>465</v>
      </c>
      <c r="C954" s="291" t="s">
        <v>465</v>
      </c>
      <c r="D954" s="501" t="s">
        <v>3666</v>
      </c>
      <c r="E954" s="525">
        <v>601.1395</v>
      </c>
    </row>
    <row r="955" spans="1:5">
      <c r="A955" s="536">
        <f t="shared" si="20"/>
        <v>3231</v>
      </c>
      <c r="B955" s="291" t="s">
        <v>1454</v>
      </c>
      <c r="C955" s="291" t="s">
        <v>1454</v>
      </c>
      <c r="D955" s="501" t="s">
        <v>3666</v>
      </c>
      <c r="E955" s="525">
        <v>672.15200000000004</v>
      </c>
    </row>
    <row r="956" spans="1:5">
      <c r="A956" s="536">
        <f t="shared" si="20"/>
        <v>3232</v>
      </c>
      <c r="B956" s="291" t="s">
        <v>1455</v>
      </c>
      <c r="C956" s="291" t="s">
        <v>1455</v>
      </c>
      <c r="D956" s="501" t="s">
        <v>3666</v>
      </c>
      <c r="E956" s="525">
        <v>1284.8375000000001</v>
      </c>
    </row>
    <row r="957" spans="1:5">
      <c r="A957" s="536">
        <f t="shared" si="20"/>
        <v>3233</v>
      </c>
      <c r="B957" s="291" t="s">
        <v>766</v>
      </c>
      <c r="C957" s="291" t="s">
        <v>766</v>
      </c>
      <c r="D957" s="501" t="s">
        <v>3666</v>
      </c>
      <c r="E957" s="525">
        <v>922.10450000000003</v>
      </c>
    </row>
    <row r="958" spans="1:5">
      <c r="A958" s="536">
        <f t="shared" si="20"/>
        <v>3234</v>
      </c>
      <c r="B958" s="291" t="s">
        <v>767</v>
      </c>
      <c r="C958" s="291" t="s">
        <v>767</v>
      </c>
      <c r="D958" s="501" t="s">
        <v>3666</v>
      </c>
      <c r="E958" s="525">
        <v>361.28399999999999</v>
      </c>
    </row>
    <row r="959" spans="1:5">
      <c r="A959" s="536">
        <f t="shared" si="20"/>
        <v>3235</v>
      </c>
      <c r="B959" s="291" t="s">
        <v>768</v>
      </c>
      <c r="C959" s="291" t="s">
        <v>768</v>
      </c>
      <c r="D959" s="501" t="s">
        <v>3666</v>
      </c>
      <c r="E959" s="525">
        <v>304.35899999999998</v>
      </c>
    </row>
    <row r="960" spans="1:5">
      <c r="A960" s="536">
        <f t="shared" si="20"/>
        <v>3236</v>
      </c>
      <c r="B960" s="291" t="s">
        <v>769</v>
      </c>
      <c r="C960" s="291" t="s">
        <v>769</v>
      </c>
      <c r="D960" s="501" t="s">
        <v>3666</v>
      </c>
      <c r="E960" s="525">
        <v>612.53599999999994</v>
      </c>
    </row>
    <row r="961" spans="1:5">
      <c r="A961" s="536">
        <f t="shared" si="20"/>
        <v>3237</v>
      </c>
      <c r="B961" s="291" t="s">
        <v>770</v>
      </c>
      <c r="C961" s="291" t="s">
        <v>770</v>
      </c>
      <c r="D961" s="501" t="s">
        <v>3666</v>
      </c>
      <c r="E961" s="525">
        <v>579.71500000000003</v>
      </c>
    </row>
    <row r="962" spans="1:5">
      <c r="A962" s="536">
        <f t="shared" si="20"/>
        <v>3238</v>
      </c>
      <c r="B962" s="291" t="s">
        <v>771</v>
      </c>
      <c r="C962" s="291" t="s">
        <v>771</v>
      </c>
      <c r="D962" s="501" t="s">
        <v>3666</v>
      </c>
      <c r="E962" s="525">
        <v>762.61099999999999</v>
      </c>
    </row>
    <row r="963" spans="1:5">
      <c r="A963" s="536">
        <f t="shared" si="20"/>
        <v>3239</v>
      </c>
      <c r="B963" s="291" t="s">
        <v>772</v>
      </c>
      <c r="C963" s="291" t="s">
        <v>772</v>
      </c>
      <c r="D963" s="501" t="s">
        <v>3666</v>
      </c>
      <c r="E963" s="525">
        <v>980.13349999999991</v>
      </c>
    </row>
    <row r="964" spans="1:5">
      <c r="A964" s="536">
        <f t="shared" si="20"/>
        <v>3240</v>
      </c>
      <c r="B964" s="291" t="s">
        <v>773</v>
      </c>
      <c r="C964" s="291" t="s">
        <v>773</v>
      </c>
      <c r="D964" s="501" t="s">
        <v>3666</v>
      </c>
      <c r="E964" s="525">
        <v>1407.7265000000002</v>
      </c>
    </row>
    <row r="965" spans="1:5">
      <c r="A965" s="536">
        <f t="shared" si="20"/>
        <v>3241</v>
      </c>
      <c r="B965" s="291" t="s">
        <v>774</v>
      </c>
      <c r="C965" s="291" t="s">
        <v>774</v>
      </c>
      <c r="D965" s="501" t="s">
        <v>3666</v>
      </c>
      <c r="E965" s="525">
        <v>1833.3875</v>
      </c>
    </row>
    <row r="966" spans="1:5">
      <c r="A966" s="536">
        <f t="shared" si="20"/>
        <v>3242</v>
      </c>
      <c r="B966" s="291" t="s">
        <v>775</v>
      </c>
      <c r="C966" s="291" t="s">
        <v>775</v>
      </c>
      <c r="D966" s="501" t="s">
        <v>3666</v>
      </c>
      <c r="E966" s="525">
        <v>1023.04</v>
      </c>
    </row>
    <row r="967" spans="1:5">
      <c r="A967" s="536">
        <f t="shared" si="20"/>
        <v>3243</v>
      </c>
      <c r="B967" s="291" t="s">
        <v>776</v>
      </c>
      <c r="C967" s="291" t="s">
        <v>776</v>
      </c>
      <c r="D967" s="501" t="s">
        <v>3666</v>
      </c>
      <c r="E967" s="525">
        <v>2908.12</v>
      </c>
    </row>
    <row r="968" spans="1:5">
      <c r="A968" s="536">
        <f t="shared" si="20"/>
        <v>3244</v>
      </c>
      <c r="B968" s="291" t="s">
        <v>777</v>
      </c>
      <c r="C968" s="291" t="s">
        <v>777</v>
      </c>
      <c r="D968" s="501" t="s">
        <v>3666</v>
      </c>
      <c r="E968" s="525">
        <v>1654.85</v>
      </c>
    </row>
    <row r="969" spans="1:5">
      <c r="A969" s="536">
        <f t="shared" si="20"/>
        <v>3245</v>
      </c>
      <c r="B969" s="291" t="s">
        <v>778</v>
      </c>
      <c r="C969" s="291" t="s">
        <v>778</v>
      </c>
      <c r="D969" s="501" t="s">
        <v>3666</v>
      </c>
      <c r="E969" s="525">
        <v>3867.7375000000002</v>
      </c>
    </row>
    <row r="970" spans="1:5">
      <c r="A970" s="536">
        <f t="shared" si="20"/>
        <v>3246</v>
      </c>
      <c r="B970" s="291" t="s">
        <v>779</v>
      </c>
      <c r="C970" s="291" t="s">
        <v>779</v>
      </c>
      <c r="D970" s="501" t="s">
        <v>3666</v>
      </c>
      <c r="E970" s="525">
        <v>2752.18</v>
      </c>
    </row>
    <row r="971" spans="1:5">
      <c r="A971" s="536">
        <f t="shared" si="20"/>
        <v>3247</v>
      </c>
      <c r="B971" s="291" t="s">
        <v>780</v>
      </c>
      <c r="C971" s="291" t="s">
        <v>780</v>
      </c>
      <c r="D971" s="501" t="s">
        <v>3666</v>
      </c>
      <c r="E971" s="525">
        <v>1308.7</v>
      </c>
    </row>
    <row r="972" spans="1:5">
      <c r="A972" s="536">
        <f t="shared" si="20"/>
        <v>3248</v>
      </c>
      <c r="B972" s="291" t="s">
        <v>781</v>
      </c>
      <c r="C972" s="291" t="s">
        <v>781</v>
      </c>
      <c r="D972" s="501" t="s">
        <v>3666</v>
      </c>
      <c r="E972" s="525">
        <v>3273.59</v>
      </c>
    </row>
    <row r="973" spans="1:5">
      <c r="A973" s="536">
        <f t="shared" si="20"/>
        <v>3249</v>
      </c>
      <c r="B973" s="291" t="s">
        <v>782</v>
      </c>
      <c r="C973" s="291" t="s">
        <v>782</v>
      </c>
      <c r="D973" s="501" t="s">
        <v>3666</v>
      </c>
      <c r="E973" s="525">
        <v>1558.664</v>
      </c>
    </row>
    <row r="974" spans="1:5">
      <c r="A974" s="536">
        <f t="shared" si="20"/>
        <v>3250</v>
      </c>
      <c r="B974" s="291" t="s">
        <v>783</v>
      </c>
      <c r="C974" s="291" t="s">
        <v>783</v>
      </c>
      <c r="D974" s="501" t="s">
        <v>3666</v>
      </c>
      <c r="E974" s="525">
        <v>2387.078</v>
      </c>
    </row>
    <row r="975" spans="1:5">
      <c r="A975" s="536">
        <f t="shared" si="20"/>
        <v>3251</v>
      </c>
      <c r="B975" s="291" t="s">
        <v>784</v>
      </c>
      <c r="C975" s="291" t="s">
        <v>784</v>
      </c>
      <c r="D975" s="501" t="s">
        <v>3666</v>
      </c>
      <c r="E975" s="525">
        <v>4593.8014999999996</v>
      </c>
    </row>
    <row r="976" spans="1:5">
      <c r="A976" s="536">
        <f t="shared" si="20"/>
        <v>3252</v>
      </c>
      <c r="B976" s="291" t="s">
        <v>785</v>
      </c>
      <c r="C976" s="291" t="s">
        <v>785</v>
      </c>
      <c r="D976" s="501" t="s">
        <v>3666</v>
      </c>
      <c r="E976" s="525">
        <v>5422.2155000000002</v>
      </c>
    </row>
    <row r="977" spans="1:5">
      <c r="A977" s="536">
        <f t="shared" si="20"/>
        <v>3253</v>
      </c>
      <c r="B977" s="291" t="s">
        <v>991</v>
      </c>
      <c r="C977" s="291" t="s">
        <v>991</v>
      </c>
      <c r="D977" s="501" t="s">
        <v>3666</v>
      </c>
      <c r="E977" s="525">
        <v>7678.9295000000002</v>
      </c>
    </row>
    <row r="978" spans="1:5">
      <c r="A978" s="536">
        <f t="shared" si="20"/>
        <v>3254</v>
      </c>
      <c r="B978" s="291" t="s">
        <v>992</v>
      </c>
      <c r="C978" s="291" t="s">
        <v>992</v>
      </c>
      <c r="D978" s="501" t="s">
        <v>3666</v>
      </c>
      <c r="E978" s="525">
        <v>13100.8</v>
      </c>
    </row>
    <row r="979" spans="1:5">
      <c r="A979" s="536">
        <f t="shared" si="20"/>
        <v>3255</v>
      </c>
      <c r="B979" s="291" t="s">
        <v>993</v>
      </c>
      <c r="C979" s="291" t="s">
        <v>993</v>
      </c>
      <c r="D979" s="501" t="s">
        <v>3666</v>
      </c>
      <c r="E979" s="525">
        <v>356.5</v>
      </c>
    </row>
    <row r="980" spans="1:5">
      <c r="A980" s="536">
        <f t="shared" si="20"/>
        <v>3256</v>
      </c>
      <c r="B980" s="291" t="s">
        <v>994</v>
      </c>
      <c r="C980" s="291" t="s">
        <v>994</v>
      </c>
      <c r="D980" s="501" t="s">
        <v>3666</v>
      </c>
      <c r="E980" s="525">
        <v>6537.1750000000002</v>
      </c>
    </row>
    <row r="981" spans="1:5">
      <c r="A981" s="536">
        <f t="shared" si="20"/>
        <v>3257</v>
      </c>
      <c r="B981" s="291" t="s">
        <v>995</v>
      </c>
      <c r="C981" s="291" t="s">
        <v>995</v>
      </c>
      <c r="D981" s="501" t="s">
        <v>3666</v>
      </c>
      <c r="E981" s="525">
        <v>8152.6374999999998</v>
      </c>
    </row>
    <row r="982" spans="1:5">
      <c r="A982" s="536">
        <f t="shared" si="20"/>
        <v>3258</v>
      </c>
      <c r="B982" s="291" t="s">
        <v>996</v>
      </c>
      <c r="C982" s="291" t="s">
        <v>996</v>
      </c>
      <c r="D982" s="501" t="s">
        <v>3666</v>
      </c>
      <c r="E982" s="525">
        <v>17366.150000000001</v>
      </c>
    </row>
    <row r="983" spans="1:5">
      <c r="A983" s="536">
        <f t="shared" si="20"/>
        <v>3259</v>
      </c>
      <c r="B983" s="291" t="s">
        <v>997</v>
      </c>
      <c r="C983" s="291" t="s">
        <v>997</v>
      </c>
      <c r="D983" s="501" t="s">
        <v>3666</v>
      </c>
      <c r="E983" s="525">
        <v>29220.0625</v>
      </c>
    </row>
    <row r="984" spans="1:5" ht="25.5">
      <c r="A984" s="536">
        <f t="shared" si="20"/>
        <v>3260</v>
      </c>
      <c r="B984" s="291" t="s">
        <v>1456</v>
      </c>
      <c r="C984" s="291" t="s">
        <v>1456</v>
      </c>
      <c r="D984" s="501" t="s">
        <v>3666</v>
      </c>
      <c r="E984" s="525">
        <v>422.18799999999999</v>
      </c>
    </row>
    <row r="985" spans="1:5" ht="25.5">
      <c r="A985" s="536">
        <f t="shared" si="20"/>
        <v>3261</v>
      </c>
      <c r="B985" s="291" t="s">
        <v>1457</v>
      </c>
      <c r="C985" s="291" t="s">
        <v>1457</v>
      </c>
      <c r="D985" s="501" t="s">
        <v>3666</v>
      </c>
      <c r="E985" s="525">
        <v>445.99299999999994</v>
      </c>
    </row>
    <row r="986" spans="1:5" ht="25.5">
      <c r="A986" s="536">
        <f t="shared" si="20"/>
        <v>3262</v>
      </c>
      <c r="B986" s="291" t="s">
        <v>998</v>
      </c>
      <c r="C986" s="291" t="s">
        <v>998</v>
      </c>
      <c r="D986" s="501" t="s">
        <v>3666</v>
      </c>
      <c r="E986" s="525">
        <v>652.19949999999994</v>
      </c>
    </row>
    <row r="987" spans="1:5" ht="25.5">
      <c r="A987" s="536">
        <f t="shared" si="20"/>
        <v>3263</v>
      </c>
      <c r="B987" s="291" t="s">
        <v>1458</v>
      </c>
      <c r="C987" s="291" t="s">
        <v>1458</v>
      </c>
      <c r="D987" s="501" t="s">
        <v>3666</v>
      </c>
      <c r="E987" s="525">
        <v>640.29700000000003</v>
      </c>
    </row>
    <row r="988" spans="1:5" ht="38.25">
      <c r="A988" s="536">
        <f t="shared" si="20"/>
        <v>3264</v>
      </c>
      <c r="B988" s="291" t="s">
        <v>1459</v>
      </c>
      <c r="C988" s="291" t="s">
        <v>1459</v>
      </c>
      <c r="D988" s="501" t="s">
        <v>3666</v>
      </c>
      <c r="E988" s="525">
        <v>9064.2999999999993</v>
      </c>
    </row>
    <row r="989" spans="1:5">
      <c r="A989" s="536"/>
      <c r="B989" s="291"/>
      <c r="C989" s="291"/>
      <c r="D989" s="501"/>
      <c r="E989" s="525"/>
    </row>
    <row r="990" spans="1:5">
      <c r="B990" s="559"/>
      <c r="C990" s="559"/>
    </row>
    <row r="991" spans="1:5">
      <c r="B991" s="559"/>
      <c r="C991" s="559"/>
    </row>
  </sheetData>
  <mergeCells count="1">
    <mergeCell ref="A560:B560"/>
  </mergeCells>
  <phoneticPr fontId="0" type="noConversion"/>
  <printOptions horizontalCentered="1"/>
  <pageMargins left="0.38" right="0.17" top="0.43" bottom="0.56999999999999995" header="0.27" footer="0.19"/>
  <pageSetup paperSize="9" scale="87" orientation="portrait" verticalDpi="300" r:id="rId1"/>
  <headerFooter alignWithMargins="0">
    <oddFooter>&amp;R&amp;P</oddFooter>
  </headerFooter>
  <rowBreaks count="2" manualBreakCount="2">
    <brk id="326" max="4" man="1"/>
    <brk id="798" max="4" man="1"/>
  </rowBreaks>
</worksheet>
</file>

<file path=xl/worksheets/sheet2.xml><?xml version="1.0" encoding="utf-8"?>
<worksheet xmlns="http://schemas.openxmlformats.org/spreadsheetml/2006/main" xmlns:r="http://schemas.openxmlformats.org/officeDocument/2006/relationships">
  <dimension ref="A2:G1211"/>
  <sheetViews>
    <sheetView topLeftCell="A4" workbookViewId="0">
      <selection activeCell="G12" sqref="G12"/>
    </sheetView>
  </sheetViews>
  <sheetFormatPr defaultRowHeight="18.75"/>
  <cols>
    <col min="1" max="1" width="6.140625" style="420" customWidth="1"/>
    <col min="2" max="2" width="40.7109375" style="421" customWidth="1"/>
    <col min="3" max="3" width="7.85546875" style="422" customWidth="1"/>
    <col min="4" max="4" width="12.140625" style="423" customWidth="1"/>
    <col min="5" max="5" width="6.42578125" style="423" customWidth="1"/>
    <col min="6" max="6" width="14.140625" style="311" bestFit="1" customWidth="1"/>
    <col min="7" max="7" width="12" style="311" customWidth="1"/>
    <col min="8" max="16384" width="9.140625" style="311"/>
  </cols>
  <sheetData>
    <row r="2" spans="1:7" ht="26.25">
      <c r="A2" s="1056" t="s">
        <v>1304</v>
      </c>
      <c r="B2" s="1056"/>
      <c r="C2" s="1057"/>
      <c r="D2" s="1057"/>
      <c r="E2" s="1057"/>
      <c r="F2" s="1057"/>
      <c r="G2" s="455"/>
    </row>
    <row r="3" spans="1:7" s="2" customFormat="1" thickBot="1">
      <c r="B3" s="288" t="s">
        <v>2460</v>
      </c>
      <c r="C3" s="192"/>
      <c r="D3" s="192"/>
      <c r="E3" s="192"/>
      <c r="F3" s="192"/>
      <c r="G3" s="192"/>
    </row>
    <row r="4" spans="1:7" s="2" customFormat="1" thickBot="1">
      <c r="A4" s="192"/>
      <c r="B4" s="286" t="s">
        <v>3639</v>
      </c>
      <c r="C4" s="287">
        <v>3.5</v>
      </c>
      <c r="D4" s="192"/>
      <c r="E4" s="192"/>
      <c r="F4" s="192"/>
      <c r="G4" s="192"/>
    </row>
    <row r="5" spans="1:7" s="312" customFormat="1" ht="18">
      <c r="A5" s="1058" t="s">
        <v>1684</v>
      </c>
      <c r="B5" s="1058" t="s">
        <v>3341</v>
      </c>
      <c r="C5" s="1053" t="s">
        <v>2905</v>
      </c>
      <c r="D5" s="1055"/>
      <c r="E5" s="1053" t="s">
        <v>2906</v>
      </c>
      <c r="F5" s="1054"/>
      <c r="G5" s="1055"/>
    </row>
    <row r="6" spans="1:7" s="312" customFormat="1" ht="18" customHeight="1">
      <c r="A6" s="1059"/>
      <c r="B6" s="1059"/>
      <c r="C6" s="1063" t="s">
        <v>3343</v>
      </c>
      <c r="D6" s="1061" t="s">
        <v>2459</v>
      </c>
      <c r="E6" s="1063" t="s">
        <v>3343</v>
      </c>
      <c r="F6" s="1061" t="s">
        <v>3344</v>
      </c>
      <c r="G6" s="315" t="s">
        <v>4678</v>
      </c>
    </row>
    <row r="7" spans="1:7" s="312" customFormat="1" ht="18">
      <c r="A7" s="1060"/>
      <c r="B7" s="1060"/>
      <c r="C7" s="1064"/>
      <c r="D7" s="1062"/>
      <c r="E7" s="1064"/>
      <c r="F7" s="1062"/>
      <c r="G7" s="315"/>
    </row>
    <row r="8" spans="1:7" s="312" customFormat="1" ht="18">
      <c r="A8" s="424"/>
      <c r="B8" s="315" t="s">
        <v>2497</v>
      </c>
      <c r="C8" s="315" t="s">
        <v>1707</v>
      </c>
      <c r="D8" s="247">
        <v>275</v>
      </c>
      <c r="E8" s="316"/>
      <c r="F8" s="247">
        <v>275</v>
      </c>
      <c r="G8" s="457">
        <v>275</v>
      </c>
    </row>
    <row r="9" spans="1:7" s="312" customFormat="1" ht="18">
      <c r="A9" s="424"/>
      <c r="B9" s="315" t="s">
        <v>790</v>
      </c>
      <c r="C9" s="456" t="s">
        <v>1707</v>
      </c>
      <c r="D9" s="247">
        <v>400</v>
      </c>
      <c r="E9" s="316"/>
      <c r="F9" s="247">
        <v>400</v>
      </c>
      <c r="G9" s="457">
        <v>400</v>
      </c>
    </row>
    <row r="10" spans="1:7">
      <c r="A10" s="313">
        <v>1</v>
      </c>
      <c r="B10" s="315" t="s">
        <v>1126</v>
      </c>
      <c r="C10" s="315"/>
      <c r="D10" s="247"/>
      <c r="E10" s="316"/>
      <c r="F10" s="425"/>
      <c r="G10" s="457"/>
    </row>
    <row r="11" spans="1:7" ht="36.75">
      <c r="A11" s="313"/>
      <c r="B11" s="317" t="s">
        <v>2755</v>
      </c>
      <c r="C11" s="315"/>
      <c r="D11" s="247"/>
      <c r="E11" s="316"/>
      <c r="F11" s="427"/>
      <c r="G11" s="458" t="s">
        <v>818</v>
      </c>
    </row>
    <row r="12" spans="1:7">
      <c r="A12" s="313"/>
      <c r="B12" s="317" t="s">
        <v>1127</v>
      </c>
      <c r="C12" s="315" t="s">
        <v>1128</v>
      </c>
      <c r="D12" s="247">
        <v>12995</v>
      </c>
      <c r="E12" s="96" t="s">
        <v>2732</v>
      </c>
      <c r="F12" s="460">
        <f>FLOOR(D12/1000,0.01)</f>
        <v>12.99</v>
      </c>
      <c r="G12" s="458">
        <f>FLOOR(F12*1.035,0.01)</f>
        <v>13.44</v>
      </c>
    </row>
    <row r="13" spans="1:7">
      <c r="A13" s="313"/>
      <c r="B13" s="317" t="s">
        <v>1129</v>
      </c>
      <c r="C13" s="315" t="s">
        <v>1130</v>
      </c>
      <c r="D13" s="247">
        <v>10000</v>
      </c>
      <c r="E13" s="96" t="s">
        <v>2732</v>
      </c>
      <c r="F13" s="460">
        <f>FLOOR(D13/1000,0.01)</f>
        <v>10</v>
      </c>
      <c r="G13" s="458">
        <f t="shared" ref="G13:G76" si="0">FLOOR(F13*1.035,0.01)</f>
        <v>10.35</v>
      </c>
    </row>
    <row r="14" spans="1:7">
      <c r="A14" s="313"/>
      <c r="B14" s="317" t="s">
        <v>1131</v>
      </c>
      <c r="C14" s="315" t="s">
        <v>1130</v>
      </c>
      <c r="D14" s="247">
        <v>9000</v>
      </c>
      <c r="E14" s="96" t="s">
        <v>2732</v>
      </c>
      <c r="F14" s="426">
        <f>FLOOR(D14/1000,0.01)</f>
        <v>9</v>
      </c>
      <c r="G14" s="457">
        <f t="shared" si="0"/>
        <v>9.31</v>
      </c>
    </row>
    <row r="15" spans="1:7">
      <c r="A15" s="313">
        <v>2</v>
      </c>
      <c r="B15" s="314" t="s">
        <v>1132</v>
      </c>
      <c r="C15" s="319"/>
      <c r="D15" s="247"/>
      <c r="E15" s="316"/>
      <c r="F15" s="427"/>
      <c r="G15" s="457"/>
    </row>
    <row r="16" spans="1:7">
      <c r="A16" s="313"/>
      <c r="B16" s="317" t="s">
        <v>1133</v>
      </c>
      <c r="C16" s="315" t="s">
        <v>1134</v>
      </c>
      <c r="D16" s="247">
        <v>16</v>
      </c>
      <c r="E16" s="316"/>
      <c r="F16" s="427"/>
      <c r="G16" s="457"/>
    </row>
    <row r="17" spans="1:7">
      <c r="A17" s="313"/>
      <c r="B17" s="317" t="s">
        <v>1135</v>
      </c>
      <c r="C17" s="315" t="s">
        <v>1136</v>
      </c>
      <c r="D17" s="247">
        <v>14</v>
      </c>
      <c r="E17" s="315" t="s">
        <v>1134</v>
      </c>
      <c r="F17" s="426">
        <f>D17</f>
        <v>14</v>
      </c>
      <c r="G17" s="457">
        <f t="shared" si="0"/>
        <v>14.49</v>
      </c>
    </row>
    <row r="18" spans="1:7">
      <c r="A18" s="313"/>
      <c r="B18" s="317" t="s">
        <v>1137</v>
      </c>
      <c r="C18" s="315" t="s">
        <v>1136</v>
      </c>
      <c r="D18" s="247">
        <v>28</v>
      </c>
      <c r="E18" s="315" t="s">
        <v>1134</v>
      </c>
      <c r="F18" s="426">
        <f>D18</f>
        <v>28</v>
      </c>
      <c r="G18" s="457">
        <f t="shared" si="0"/>
        <v>28.98</v>
      </c>
    </row>
    <row r="19" spans="1:7">
      <c r="A19" s="313"/>
      <c r="B19" s="317" t="s">
        <v>1138</v>
      </c>
      <c r="C19" s="315" t="s">
        <v>1136</v>
      </c>
      <c r="D19" s="247">
        <v>23</v>
      </c>
      <c r="E19" s="315" t="s">
        <v>1134</v>
      </c>
      <c r="F19" s="426">
        <f>D19</f>
        <v>23</v>
      </c>
      <c r="G19" s="457">
        <f t="shared" si="0"/>
        <v>23.8</v>
      </c>
    </row>
    <row r="20" spans="1:7">
      <c r="A20" s="320">
        <v>3</v>
      </c>
      <c r="B20" s="314" t="s">
        <v>1139</v>
      </c>
      <c r="C20" s="66"/>
      <c r="D20" s="247"/>
      <c r="E20" s="316"/>
      <c r="F20" s="427"/>
      <c r="G20" s="457"/>
    </row>
    <row r="21" spans="1:7">
      <c r="A21" s="313"/>
      <c r="B21" s="317" t="s">
        <v>3087</v>
      </c>
      <c r="C21" s="315" t="s">
        <v>1134</v>
      </c>
      <c r="D21" s="247">
        <v>6</v>
      </c>
      <c r="E21" s="315" t="s">
        <v>1134</v>
      </c>
      <c r="F21" s="426">
        <f>D21</f>
        <v>6</v>
      </c>
      <c r="G21" s="457">
        <f t="shared" si="0"/>
        <v>6.21</v>
      </c>
    </row>
    <row r="22" spans="1:7">
      <c r="A22" s="313"/>
      <c r="B22" s="317" t="s">
        <v>3088</v>
      </c>
      <c r="C22" s="315" t="s">
        <v>1136</v>
      </c>
      <c r="D22" s="247">
        <v>7.5</v>
      </c>
      <c r="E22" s="315" t="s">
        <v>1134</v>
      </c>
      <c r="F22" s="426">
        <f>D22</f>
        <v>7.5</v>
      </c>
      <c r="G22" s="457">
        <f t="shared" si="0"/>
        <v>7.76</v>
      </c>
    </row>
    <row r="23" spans="1:7">
      <c r="A23" s="313"/>
      <c r="B23" s="284" t="s">
        <v>3089</v>
      </c>
      <c r="C23" s="315" t="s">
        <v>1136</v>
      </c>
      <c r="D23" s="247"/>
      <c r="E23" s="315" t="s">
        <v>2110</v>
      </c>
      <c r="F23" s="427">
        <f>FLOOR(D23/0.09,0.01)</f>
        <v>0</v>
      </c>
      <c r="G23" s="457">
        <f t="shared" si="0"/>
        <v>0</v>
      </c>
    </row>
    <row r="24" spans="1:7">
      <c r="A24" s="313"/>
      <c r="B24" s="284" t="s">
        <v>3090</v>
      </c>
      <c r="C24" s="315" t="s">
        <v>1136</v>
      </c>
      <c r="D24" s="247"/>
      <c r="E24" s="315" t="s">
        <v>2110</v>
      </c>
      <c r="F24" s="427">
        <f>FLOOR(D24/0.45/0.45,0.01)</f>
        <v>0</v>
      </c>
      <c r="G24" s="457">
        <f t="shared" si="0"/>
        <v>0</v>
      </c>
    </row>
    <row r="25" spans="1:7">
      <c r="A25" s="320">
        <v>4</v>
      </c>
      <c r="B25" s="314" t="s">
        <v>1305</v>
      </c>
      <c r="C25" s="321"/>
      <c r="D25" s="247"/>
      <c r="E25" s="322"/>
      <c r="F25" s="429">
        <f>(F26+F27)/2</f>
        <v>1262.33</v>
      </c>
      <c r="G25" s="457">
        <f t="shared" si="0"/>
        <v>1306.51</v>
      </c>
    </row>
    <row r="26" spans="1:7" ht="33.75">
      <c r="A26" s="313"/>
      <c r="B26" s="317" t="s">
        <v>1306</v>
      </c>
      <c r="C26" s="321" t="s">
        <v>3091</v>
      </c>
      <c r="D26" s="247">
        <v>35</v>
      </c>
      <c r="E26" s="321" t="s">
        <v>3040</v>
      </c>
      <c r="F26" s="459">
        <f>FLOOR(D26*35.31,0.01)</f>
        <v>1235.8500000000001</v>
      </c>
      <c r="G26" s="458">
        <f t="shared" si="0"/>
        <v>1279.1000000000001</v>
      </c>
    </row>
    <row r="27" spans="1:7">
      <c r="A27" s="313"/>
      <c r="B27" s="317" t="s">
        <v>1307</v>
      </c>
      <c r="C27" s="321" t="s">
        <v>2621</v>
      </c>
      <c r="D27" s="247">
        <v>36.5</v>
      </c>
      <c r="E27" s="321" t="s">
        <v>3040</v>
      </c>
      <c r="F27" s="459">
        <f>FLOOR(D27*35.31,0.01)</f>
        <v>1288.81</v>
      </c>
      <c r="G27" s="458">
        <f t="shared" si="0"/>
        <v>1333.91</v>
      </c>
    </row>
    <row r="28" spans="1:7">
      <c r="A28" s="313"/>
      <c r="B28" s="317" t="s">
        <v>1308</v>
      </c>
      <c r="C28" s="321" t="s">
        <v>2621</v>
      </c>
      <c r="D28" s="247">
        <v>32</v>
      </c>
      <c r="E28" s="321" t="s">
        <v>3040</v>
      </c>
      <c r="F28" s="429">
        <f>FLOOR(D28*35.31,0.01)</f>
        <v>1129.92</v>
      </c>
      <c r="G28" s="457">
        <f t="shared" si="0"/>
        <v>1169.46</v>
      </c>
    </row>
    <row r="29" spans="1:7" ht="37.5">
      <c r="A29" s="320">
        <v>5</v>
      </c>
      <c r="B29" s="314" t="s">
        <v>1309</v>
      </c>
      <c r="C29" s="314"/>
      <c r="D29" s="247"/>
      <c r="E29" s="325"/>
      <c r="F29" s="430"/>
      <c r="G29" s="457"/>
    </row>
    <row r="30" spans="1:7">
      <c r="A30" s="313"/>
      <c r="B30" s="326" t="s">
        <v>1310</v>
      </c>
      <c r="C30" s="321" t="s">
        <v>3091</v>
      </c>
      <c r="D30" s="247"/>
      <c r="E30" s="316"/>
      <c r="F30" s="429"/>
      <c r="G30" s="457"/>
    </row>
    <row r="31" spans="1:7">
      <c r="A31" s="313"/>
      <c r="B31" s="326" t="s">
        <v>3092</v>
      </c>
      <c r="C31" s="321" t="s">
        <v>2232</v>
      </c>
      <c r="D31" s="247"/>
      <c r="E31" s="316"/>
      <c r="F31" s="429"/>
      <c r="G31" s="457"/>
    </row>
    <row r="32" spans="1:7">
      <c r="A32" s="313"/>
      <c r="B32" s="326" t="s">
        <v>3093</v>
      </c>
      <c r="C32" s="321" t="s">
        <v>2232</v>
      </c>
      <c r="D32" s="247"/>
      <c r="E32" s="316"/>
      <c r="F32" s="429"/>
      <c r="G32" s="457"/>
    </row>
    <row r="33" spans="1:7">
      <c r="A33" s="313"/>
      <c r="B33" s="326" t="s">
        <v>3094</v>
      </c>
      <c r="C33" s="321" t="s">
        <v>2232</v>
      </c>
      <c r="D33" s="247">
        <v>25</v>
      </c>
      <c r="E33" s="321" t="s">
        <v>3040</v>
      </c>
      <c r="F33" s="429">
        <f>FLOOR(D33*35.31,0.01)</f>
        <v>882.75</v>
      </c>
      <c r="G33" s="457">
        <f t="shared" si="0"/>
        <v>913.64</v>
      </c>
    </row>
    <row r="34" spans="1:7">
      <c r="A34" s="313"/>
      <c r="B34" s="326" t="s">
        <v>1311</v>
      </c>
      <c r="C34" s="321" t="s">
        <v>2232</v>
      </c>
      <c r="D34" s="247">
        <v>32</v>
      </c>
      <c r="E34" s="321" t="s">
        <v>3040</v>
      </c>
      <c r="F34" s="429">
        <f>FLOOR(D34*35.31,0.01)</f>
        <v>1129.92</v>
      </c>
      <c r="G34" s="457">
        <f t="shared" si="0"/>
        <v>1169.46</v>
      </c>
    </row>
    <row r="35" spans="1:7" ht="36.75">
      <c r="A35" s="313"/>
      <c r="B35" s="317" t="s">
        <v>2924</v>
      </c>
      <c r="C35" s="321" t="s">
        <v>3091</v>
      </c>
      <c r="D35" s="247">
        <v>36</v>
      </c>
      <c r="E35" s="321" t="s">
        <v>3040</v>
      </c>
      <c r="F35" s="429">
        <f>FLOOR(D35*35.31,0.01)</f>
        <v>1271.1600000000001</v>
      </c>
      <c r="G35" s="457">
        <f t="shared" si="0"/>
        <v>1315.65</v>
      </c>
    </row>
    <row r="36" spans="1:7">
      <c r="A36" s="320"/>
      <c r="B36" s="317" t="s">
        <v>2925</v>
      </c>
      <c r="C36" s="321" t="s">
        <v>3091</v>
      </c>
      <c r="D36" s="247">
        <v>18</v>
      </c>
      <c r="E36" s="321" t="s">
        <v>3040</v>
      </c>
      <c r="F36" s="429">
        <f>FLOOR(D36*35.31,0.01)</f>
        <v>635.58000000000004</v>
      </c>
      <c r="G36" s="457">
        <f t="shared" si="0"/>
        <v>657.82</v>
      </c>
    </row>
    <row r="37" spans="1:7">
      <c r="A37" s="320">
        <v>6</v>
      </c>
      <c r="B37" s="314" t="s">
        <v>3095</v>
      </c>
      <c r="C37" s="314"/>
      <c r="D37" s="247"/>
      <c r="E37" s="321"/>
      <c r="F37" s="429"/>
      <c r="G37" s="457"/>
    </row>
    <row r="38" spans="1:7">
      <c r="A38" s="313"/>
      <c r="B38" s="317" t="s">
        <v>2909</v>
      </c>
      <c r="C38" s="321" t="s">
        <v>3091</v>
      </c>
      <c r="D38" s="247">
        <v>45</v>
      </c>
      <c r="E38" s="321" t="s">
        <v>3040</v>
      </c>
      <c r="F38" s="459">
        <f>FLOOR(D38*35.31,0.01)</f>
        <v>1588.95</v>
      </c>
      <c r="G38" s="458">
        <f t="shared" si="0"/>
        <v>1644.56</v>
      </c>
    </row>
    <row r="39" spans="1:7">
      <c r="A39" s="313"/>
      <c r="B39" s="317" t="s">
        <v>2910</v>
      </c>
      <c r="C39" s="321" t="s">
        <v>3091</v>
      </c>
      <c r="D39" s="247">
        <v>50</v>
      </c>
      <c r="E39" s="321" t="s">
        <v>3040</v>
      </c>
      <c r="F39" s="459">
        <f>FLOOR(D39*35.31,0.01)</f>
        <v>1765.5</v>
      </c>
      <c r="G39" s="458">
        <f t="shared" si="0"/>
        <v>1827.29</v>
      </c>
    </row>
    <row r="40" spans="1:7">
      <c r="A40" s="313"/>
      <c r="B40" s="317" t="s">
        <v>3099</v>
      </c>
      <c r="C40" s="321" t="s">
        <v>3091</v>
      </c>
      <c r="D40" s="247">
        <v>48</v>
      </c>
      <c r="E40" s="321" t="s">
        <v>3040</v>
      </c>
      <c r="F40" s="459">
        <f>FLOOR(D40*35.31,0.01)</f>
        <v>1694.88</v>
      </c>
      <c r="G40" s="458">
        <f t="shared" si="0"/>
        <v>1754.2</v>
      </c>
    </row>
    <row r="41" spans="1:7">
      <c r="A41" s="313"/>
      <c r="B41" s="317" t="s">
        <v>2926</v>
      </c>
      <c r="C41" s="321" t="s">
        <v>3091</v>
      </c>
      <c r="D41" s="247">
        <v>40</v>
      </c>
      <c r="E41" s="321" t="s">
        <v>3040</v>
      </c>
      <c r="F41" s="459">
        <f>FLOOR(D41*35.31,0.01)</f>
        <v>1412.4</v>
      </c>
      <c r="G41" s="458">
        <f t="shared" si="0"/>
        <v>1461.83</v>
      </c>
    </row>
    <row r="42" spans="1:7">
      <c r="A42" s="313"/>
      <c r="B42" s="317" t="s">
        <v>3100</v>
      </c>
      <c r="C42" s="321" t="s">
        <v>3091</v>
      </c>
      <c r="D42" s="247"/>
      <c r="E42" s="316"/>
      <c r="F42" s="429"/>
      <c r="G42" s="457"/>
    </row>
    <row r="43" spans="1:7" ht="37.5">
      <c r="A43" s="320">
        <v>7</v>
      </c>
      <c r="B43" s="314" t="s">
        <v>2927</v>
      </c>
      <c r="C43" s="315"/>
      <c r="D43" s="247"/>
      <c r="E43" s="316"/>
      <c r="F43" s="429"/>
      <c r="G43" s="457"/>
    </row>
    <row r="44" spans="1:7">
      <c r="A44" s="313"/>
      <c r="B44" s="317" t="s">
        <v>3101</v>
      </c>
      <c r="C44" s="315" t="s">
        <v>3102</v>
      </c>
      <c r="D44" s="247">
        <v>33</v>
      </c>
      <c r="E44" s="321" t="s">
        <v>3040</v>
      </c>
      <c r="F44" s="459">
        <f>FLOOR(D44*35.31,0.01)</f>
        <v>1165.23</v>
      </c>
      <c r="G44" s="458">
        <f t="shared" si="0"/>
        <v>1206.01</v>
      </c>
    </row>
    <row r="45" spans="1:7">
      <c r="A45" s="313"/>
      <c r="B45" s="317" t="s">
        <v>3103</v>
      </c>
      <c r="C45" s="315" t="s">
        <v>1136</v>
      </c>
      <c r="D45" s="247">
        <v>35</v>
      </c>
      <c r="E45" s="321" t="s">
        <v>3040</v>
      </c>
      <c r="F45" s="459">
        <f>FLOOR(D45*35.31,0.01)</f>
        <v>1235.8500000000001</v>
      </c>
      <c r="G45" s="458">
        <f t="shared" si="0"/>
        <v>1279.1000000000001</v>
      </c>
    </row>
    <row r="46" spans="1:7">
      <c r="A46" s="313"/>
      <c r="B46" s="317" t="s">
        <v>3104</v>
      </c>
      <c r="C46" s="315" t="s">
        <v>1136</v>
      </c>
      <c r="D46" s="247">
        <v>36</v>
      </c>
      <c r="E46" s="321" t="s">
        <v>3040</v>
      </c>
      <c r="F46" s="459">
        <f>FLOOR(D46*35.31,0.01)</f>
        <v>1271.1600000000001</v>
      </c>
      <c r="G46" s="458">
        <f t="shared" si="0"/>
        <v>1315.65</v>
      </c>
    </row>
    <row r="47" spans="1:7">
      <c r="A47" s="313"/>
      <c r="B47" s="317" t="s">
        <v>3105</v>
      </c>
      <c r="C47" s="315" t="s">
        <v>1136</v>
      </c>
      <c r="D47" s="247">
        <v>37</v>
      </c>
      <c r="E47" s="321" t="s">
        <v>3040</v>
      </c>
      <c r="F47" s="459">
        <f>FLOOR(D47*35.31,0.01)</f>
        <v>1306.47</v>
      </c>
      <c r="G47" s="458">
        <f t="shared" si="0"/>
        <v>1352.19</v>
      </c>
    </row>
    <row r="48" spans="1:7">
      <c r="A48" s="313">
        <v>8</v>
      </c>
      <c r="B48" s="314" t="s">
        <v>3106</v>
      </c>
      <c r="C48" s="315"/>
      <c r="D48" s="247"/>
      <c r="E48" s="316"/>
      <c r="F48" s="429"/>
      <c r="G48" s="457"/>
    </row>
    <row r="49" spans="1:7">
      <c r="A49" s="313"/>
      <c r="B49" s="317" t="s">
        <v>2531</v>
      </c>
      <c r="C49" s="315" t="s">
        <v>2532</v>
      </c>
      <c r="D49" s="247"/>
      <c r="E49" s="318"/>
      <c r="F49" s="429"/>
      <c r="G49" s="457"/>
    </row>
    <row r="50" spans="1:7">
      <c r="A50" s="313"/>
      <c r="B50" s="317" t="s">
        <v>2533</v>
      </c>
      <c r="C50" s="315" t="s">
        <v>1130</v>
      </c>
      <c r="D50" s="247"/>
      <c r="E50" s="318"/>
      <c r="F50" s="429"/>
      <c r="G50" s="457"/>
    </row>
    <row r="51" spans="1:7">
      <c r="A51" s="313"/>
      <c r="B51" s="317" t="s">
        <v>2534</v>
      </c>
      <c r="C51" s="315" t="s">
        <v>1130</v>
      </c>
      <c r="D51" s="247"/>
      <c r="E51" s="318"/>
      <c r="F51" s="429"/>
      <c r="G51" s="457"/>
    </row>
    <row r="52" spans="1:7">
      <c r="A52" s="313"/>
      <c r="B52" s="317" t="s">
        <v>2535</v>
      </c>
      <c r="C52" s="315" t="s">
        <v>1130</v>
      </c>
      <c r="D52" s="247">
        <v>42</v>
      </c>
      <c r="E52" s="321" t="s">
        <v>3040</v>
      </c>
      <c r="F52" s="429">
        <f>FLOOR(D52*35.31,0.01)</f>
        <v>1483.02</v>
      </c>
      <c r="G52" s="457">
        <f t="shared" si="0"/>
        <v>1534.92</v>
      </c>
    </row>
    <row r="53" spans="1:7">
      <c r="A53" s="320">
        <v>9</v>
      </c>
      <c r="B53" s="314" t="s">
        <v>2536</v>
      </c>
      <c r="C53" s="321"/>
      <c r="D53" s="247"/>
      <c r="E53" s="322"/>
      <c r="F53" s="429"/>
      <c r="G53" s="457"/>
    </row>
    <row r="54" spans="1:7" ht="36.75">
      <c r="A54" s="313"/>
      <c r="B54" s="317" t="s">
        <v>3014</v>
      </c>
      <c r="C54" s="321" t="s">
        <v>3091</v>
      </c>
      <c r="D54" s="247">
        <v>47</v>
      </c>
      <c r="E54" s="328"/>
      <c r="F54" s="429">
        <f>FLOOR(D54*35.31,0.01)</f>
        <v>1659.57</v>
      </c>
      <c r="G54" s="457">
        <f t="shared" si="0"/>
        <v>1717.65</v>
      </c>
    </row>
    <row r="55" spans="1:7">
      <c r="A55" s="313">
        <v>10</v>
      </c>
      <c r="B55" s="314" t="s">
        <v>2928</v>
      </c>
      <c r="C55" s="5"/>
      <c r="D55" s="247"/>
      <c r="E55" s="316"/>
      <c r="F55" s="427"/>
      <c r="G55" s="457"/>
    </row>
    <row r="56" spans="1:7">
      <c r="A56" s="313"/>
      <c r="B56" s="317" t="s">
        <v>3346</v>
      </c>
      <c r="C56" s="315" t="s">
        <v>3347</v>
      </c>
      <c r="D56" s="247">
        <v>42</v>
      </c>
      <c r="E56" s="315" t="s">
        <v>2110</v>
      </c>
      <c r="F56" s="429">
        <f t="shared" ref="F56:F61" si="1">FLOOR(D56*10.76,0.01)</f>
        <v>451.92</v>
      </c>
      <c r="G56" s="457">
        <f t="shared" si="0"/>
        <v>467.73</v>
      </c>
    </row>
    <row r="57" spans="1:7" ht="23.25">
      <c r="A57" s="313"/>
      <c r="B57" s="317" t="s">
        <v>2015</v>
      </c>
      <c r="C57" s="329" t="s">
        <v>1130</v>
      </c>
      <c r="D57" s="247">
        <v>50</v>
      </c>
      <c r="E57" s="315" t="s">
        <v>2110</v>
      </c>
      <c r="F57" s="429">
        <f t="shared" si="1"/>
        <v>538</v>
      </c>
      <c r="G57" s="457">
        <f t="shared" si="0"/>
        <v>556.83000000000004</v>
      </c>
    </row>
    <row r="58" spans="1:7">
      <c r="A58" s="313"/>
      <c r="B58" s="317" t="s">
        <v>3348</v>
      </c>
      <c r="C58" s="315" t="s">
        <v>3347</v>
      </c>
      <c r="D58" s="247">
        <v>65</v>
      </c>
      <c r="E58" s="315" t="s">
        <v>2110</v>
      </c>
      <c r="F58" s="436">
        <f t="shared" si="1"/>
        <v>699.4</v>
      </c>
      <c r="G58" s="457">
        <f t="shared" si="0"/>
        <v>723.87</v>
      </c>
    </row>
    <row r="59" spans="1:7" ht="22.5">
      <c r="A59" s="313"/>
      <c r="B59" s="317" t="s">
        <v>2016</v>
      </c>
      <c r="C59" s="315" t="s">
        <v>1130</v>
      </c>
      <c r="D59" s="247">
        <v>72</v>
      </c>
      <c r="E59" s="315" t="s">
        <v>2110</v>
      </c>
      <c r="F59" s="429">
        <f t="shared" si="1"/>
        <v>774.72</v>
      </c>
      <c r="G59" s="457">
        <f t="shared" si="0"/>
        <v>801.83</v>
      </c>
    </row>
    <row r="60" spans="1:7" ht="22.5">
      <c r="A60" s="313"/>
      <c r="B60" s="317" t="s">
        <v>84</v>
      </c>
      <c r="C60" s="315" t="s">
        <v>1130</v>
      </c>
      <c r="D60" s="247">
        <v>90</v>
      </c>
      <c r="E60" s="315" t="s">
        <v>2110</v>
      </c>
      <c r="F60" s="429">
        <f t="shared" si="1"/>
        <v>968.4</v>
      </c>
      <c r="G60" s="457">
        <f t="shared" si="0"/>
        <v>1002.2900000000001</v>
      </c>
    </row>
    <row r="61" spans="1:7" ht="41.25">
      <c r="A61" s="313"/>
      <c r="B61" s="317" t="s">
        <v>1542</v>
      </c>
      <c r="C61" s="315" t="s">
        <v>1130</v>
      </c>
      <c r="D61" s="247">
        <v>105</v>
      </c>
      <c r="E61" s="315" t="s">
        <v>2110</v>
      </c>
      <c r="F61" s="429">
        <f t="shared" si="1"/>
        <v>1129.8</v>
      </c>
      <c r="G61" s="457">
        <f t="shared" si="0"/>
        <v>1169.3399999999999</v>
      </c>
    </row>
    <row r="62" spans="1:7">
      <c r="A62" s="313"/>
      <c r="B62" s="317"/>
      <c r="C62" s="315"/>
      <c r="D62" s="247"/>
      <c r="E62" s="316"/>
      <c r="F62" s="429"/>
      <c r="G62" s="457"/>
    </row>
    <row r="63" spans="1:7">
      <c r="A63" s="313">
        <v>11</v>
      </c>
      <c r="B63" s="314" t="s">
        <v>3349</v>
      </c>
      <c r="C63" s="315"/>
      <c r="D63" s="247"/>
      <c r="E63" s="316"/>
      <c r="F63" s="429"/>
      <c r="G63" s="457"/>
    </row>
    <row r="64" spans="1:7">
      <c r="A64" s="313"/>
      <c r="B64" s="317" t="s">
        <v>3350</v>
      </c>
      <c r="C64" s="315" t="s">
        <v>2532</v>
      </c>
      <c r="D64" s="247"/>
      <c r="E64" s="318"/>
      <c r="F64" s="429">
        <f>FLOOR(D64*10.76,0.01)</f>
        <v>0</v>
      </c>
      <c r="G64" s="457">
        <f t="shared" si="0"/>
        <v>0</v>
      </c>
    </row>
    <row r="65" spans="1:7">
      <c r="A65" s="313"/>
      <c r="B65" s="317" t="s">
        <v>3351</v>
      </c>
      <c r="C65" s="315" t="s">
        <v>1136</v>
      </c>
      <c r="D65" s="247"/>
      <c r="E65" s="318"/>
      <c r="F65" s="429"/>
      <c r="G65" s="457"/>
    </row>
    <row r="66" spans="1:7">
      <c r="A66" s="313"/>
      <c r="B66" s="317" t="s">
        <v>3352</v>
      </c>
      <c r="C66" s="315" t="s">
        <v>1130</v>
      </c>
      <c r="D66" s="247"/>
      <c r="E66" s="318"/>
      <c r="F66" s="427"/>
      <c r="G66" s="457"/>
    </row>
    <row r="67" spans="1:7" ht="45">
      <c r="A67" s="313"/>
      <c r="B67" s="317" t="s">
        <v>1543</v>
      </c>
      <c r="C67" s="315" t="s">
        <v>1130</v>
      </c>
      <c r="D67" s="247">
        <v>45</v>
      </c>
      <c r="E67" s="321" t="s">
        <v>3040</v>
      </c>
      <c r="F67" s="436">
        <f>FLOOR(D67*35.31,0.01)</f>
        <v>1588.95</v>
      </c>
      <c r="G67" s="457">
        <f t="shared" si="0"/>
        <v>1644.56</v>
      </c>
    </row>
    <row r="68" spans="1:7" ht="37.5">
      <c r="A68" s="313"/>
      <c r="B68" s="317" t="s">
        <v>1544</v>
      </c>
      <c r="C68" s="315" t="s">
        <v>1130</v>
      </c>
      <c r="D68" s="247">
        <v>25</v>
      </c>
      <c r="E68" s="321" t="s">
        <v>3040</v>
      </c>
      <c r="F68" s="429">
        <f>FLOOR(D68*35.31,0.01)</f>
        <v>882.75</v>
      </c>
      <c r="G68" s="457">
        <f t="shared" si="0"/>
        <v>913.64</v>
      </c>
    </row>
    <row r="69" spans="1:7">
      <c r="A69" s="313">
        <v>12</v>
      </c>
      <c r="B69" s="314" t="s">
        <v>3353</v>
      </c>
      <c r="C69" s="330"/>
      <c r="D69" s="247"/>
      <c r="E69" s="331"/>
      <c r="F69" s="429"/>
      <c r="G69" s="457"/>
    </row>
    <row r="70" spans="1:7">
      <c r="A70" s="313"/>
      <c r="B70" s="284" t="s">
        <v>1545</v>
      </c>
      <c r="C70" s="332" t="s">
        <v>2970</v>
      </c>
      <c r="D70" s="247">
        <v>65.5</v>
      </c>
      <c r="E70" s="332" t="s">
        <v>2970</v>
      </c>
      <c r="F70" s="426">
        <f t="shared" ref="F70:F81" si="2">D70</f>
        <v>65.5</v>
      </c>
      <c r="G70" s="457">
        <f t="shared" si="0"/>
        <v>67.790000000000006</v>
      </c>
    </row>
    <row r="71" spans="1:7" ht="36.75">
      <c r="A71" s="313"/>
      <c r="B71" s="284" t="s">
        <v>112</v>
      </c>
      <c r="C71" s="332" t="s">
        <v>1136</v>
      </c>
      <c r="D71" s="247">
        <v>320</v>
      </c>
      <c r="E71" s="332" t="s">
        <v>2970</v>
      </c>
      <c r="F71" s="426">
        <f t="shared" si="2"/>
        <v>320</v>
      </c>
      <c r="G71" s="457">
        <f t="shared" si="0"/>
        <v>331.2</v>
      </c>
    </row>
    <row r="72" spans="1:7" ht="36.75">
      <c r="A72" s="313"/>
      <c r="B72" s="284" t="s">
        <v>2575</v>
      </c>
      <c r="C72" s="332" t="s">
        <v>1130</v>
      </c>
      <c r="D72" s="247"/>
      <c r="E72" s="332" t="s">
        <v>2970</v>
      </c>
      <c r="F72" s="426">
        <f t="shared" si="2"/>
        <v>0</v>
      </c>
      <c r="G72" s="457">
        <f t="shared" si="0"/>
        <v>0</v>
      </c>
    </row>
    <row r="73" spans="1:7">
      <c r="A73" s="313"/>
      <c r="B73" s="284" t="s">
        <v>2576</v>
      </c>
      <c r="C73" s="332"/>
      <c r="D73" s="247"/>
      <c r="E73" s="322"/>
      <c r="F73" s="426"/>
      <c r="G73" s="457"/>
    </row>
    <row r="74" spans="1:7">
      <c r="A74" s="313"/>
      <c r="B74" s="317" t="s">
        <v>2577</v>
      </c>
      <c r="C74" s="321" t="s">
        <v>2970</v>
      </c>
      <c r="D74" s="247">
        <v>54.54</v>
      </c>
      <c r="E74" s="332" t="s">
        <v>2970</v>
      </c>
      <c r="F74" s="426">
        <f t="shared" si="2"/>
        <v>54.54</v>
      </c>
      <c r="G74" s="457">
        <f t="shared" si="0"/>
        <v>56.44</v>
      </c>
    </row>
    <row r="75" spans="1:7">
      <c r="A75" s="313"/>
      <c r="B75" s="333" t="s">
        <v>2578</v>
      </c>
      <c r="C75" s="321" t="s">
        <v>3354</v>
      </c>
      <c r="D75" s="247">
        <v>58.48</v>
      </c>
      <c r="E75" s="332" t="s">
        <v>2970</v>
      </c>
      <c r="F75" s="426">
        <f t="shared" si="2"/>
        <v>58.48</v>
      </c>
      <c r="G75" s="457">
        <f t="shared" si="0"/>
        <v>60.52</v>
      </c>
    </row>
    <row r="76" spans="1:7">
      <c r="A76" s="313"/>
      <c r="B76" s="333" t="s">
        <v>2579</v>
      </c>
      <c r="C76" s="321" t="s">
        <v>1130</v>
      </c>
      <c r="D76" s="247">
        <v>56.13</v>
      </c>
      <c r="E76" s="332" t="s">
        <v>2970</v>
      </c>
      <c r="F76" s="426">
        <f t="shared" si="2"/>
        <v>56.13</v>
      </c>
      <c r="G76" s="457">
        <f t="shared" si="0"/>
        <v>58.09</v>
      </c>
    </row>
    <row r="77" spans="1:7" ht="36.75">
      <c r="A77" s="313"/>
      <c r="B77" s="334" t="s">
        <v>3293</v>
      </c>
      <c r="C77" s="332" t="s">
        <v>3355</v>
      </c>
      <c r="D77" s="247">
        <v>33</v>
      </c>
      <c r="E77" s="332" t="s">
        <v>2970</v>
      </c>
      <c r="F77" s="426">
        <f t="shared" si="2"/>
        <v>33</v>
      </c>
      <c r="G77" s="457">
        <f t="shared" ref="G77:G140" si="3">FLOOR(F77*1.035,0.01)</f>
        <v>34.15</v>
      </c>
    </row>
    <row r="78" spans="1:7" ht="36.75">
      <c r="A78" s="313"/>
      <c r="B78" s="335" t="s">
        <v>3294</v>
      </c>
      <c r="C78" s="336"/>
      <c r="D78" s="247"/>
      <c r="E78" s="322"/>
      <c r="F78" s="426"/>
      <c r="G78" s="457"/>
    </row>
    <row r="79" spans="1:7">
      <c r="A79" s="313"/>
      <c r="B79" s="334" t="s">
        <v>3356</v>
      </c>
      <c r="C79" s="321" t="s">
        <v>3357</v>
      </c>
      <c r="D79" s="247">
        <v>189</v>
      </c>
      <c r="E79" s="332" t="s">
        <v>2970</v>
      </c>
      <c r="F79" s="426">
        <f t="shared" si="2"/>
        <v>189</v>
      </c>
      <c r="G79" s="457">
        <f t="shared" si="3"/>
        <v>195.61</v>
      </c>
    </row>
    <row r="80" spans="1:7">
      <c r="A80" s="313"/>
      <c r="B80" s="284" t="s">
        <v>3358</v>
      </c>
      <c r="C80" s="321" t="s">
        <v>2621</v>
      </c>
      <c r="D80" s="247">
        <v>209</v>
      </c>
      <c r="E80" s="332" t="s">
        <v>2970</v>
      </c>
      <c r="F80" s="426">
        <f t="shared" si="2"/>
        <v>209</v>
      </c>
      <c r="G80" s="457">
        <f t="shared" si="3"/>
        <v>216.31</v>
      </c>
    </row>
    <row r="81" spans="1:7">
      <c r="A81" s="313"/>
      <c r="B81" s="284" t="s">
        <v>3359</v>
      </c>
      <c r="C81" s="321" t="s">
        <v>2621</v>
      </c>
      <c r="D81" s="247">
        <v>171</v>
      </c>
      <c r="E81" s="332" t="s">
        <v>2970</v>
      </c>
      <c r="F81" s="426">
        <f t="shared" si="2"/>
        <v>171</v>
      </c>
      <c r="G81" s="457">
        <f t="shared" si="3"/>
        <v>176.98</v>
      </c>
    </row>
    <row r="82" spans="1:7">
      <c r="A82" s="313">
        <v>13</v>
      </c>
      <c r="B82" s="314" t="s">
        <v>3360</v>
      </c>
      <c r="C82" s="319"/>
      <c r="D82" s="247"/>
      <c r="E82" s="332" t="s">
        <v>804</v>
      </c>
      <c r="F82" s="452">
        <f>FLOOR((F83+F84+F85+F86)/4,0.01)</f>
        <v>12342.800000000001</v>
      </c>
      <c r="G82" s="457">
        <f t="shared" si="3"/>
        <v>12774.79</v>
      </c>
    </row>
    <row r="83" spans="1:7">
      <c r="A83" s="313"/>
      <c r="B83" s="317" t="s">
        <v>3361</v>
      </c>
      <c r="C83" s="315" t="s">
        <v>3362</v>
      </c>
      <c r="D83" s="247">
        <v>626.54999999999995</v>
      </c>
      <c r="E83" s="332" t="s">
        <v>804</v>
      </c>
      <c r="F83" s="461">
        <f>FLOOR(D83*20,0.01)</f>
        <v>12531</v>
      </c>
      <c r="G83" s="458">
        <f t="shared" si="3"/>
        <v>12969.58</v>
      </c>
    </row>
    <row r="84" spans="1:7">
      <c r="A84" s="313"/>
      <c r="B84" s="317" t="s">
        <v>3363</v>
      </c>
      <c r="C84" s="315" t="s">
        <v>2621</v>
      </c>
      <c r="D84" s="247">
        <v>667.26</v>
      </c>
      <c r="E84" s="332" t="s">
        <v>804</v>
      </c>
      <c r="F84" s="461">
        <f>FLOOR(D84*20,0.01)</f>
        <v>13345.2</v>
      </c>
      <c r="G84" s="458">
        <f t="shared" si="3"/>
        <v>13812.28</v>
      </c>
    </row>
    <row r="85" spans="1:7">
      <c r="A85" s="313"/>
      <c r="B85" s="317" t="s">
        <v>3510</v>
      </c>
      <c r="C85" s="315" t="s">
        <v>2621</v>
      </c>
      <c r="D85" s="247">
        <v>564.75</v>
      </c>
      <c r="E85" s="332" t="s">
        <v>804</v>
      </c>
      <c r="F85" s="461">
        <f>FLOOR(D85*20,0.01)</f>
        <v>11295</v>
      </c>
      <c r="G85" s="458">
        <f t="shared" si="3"/>
        <v>11690.32</v>
      </c>
    </row>
    <row r="86" spans="1:7">
      <c r="A86" s="313"/>
      <c r="B86" s="317" t="s">
        <v>2469</v>
      </c>
      <c r="C86" s="315" t="s">
        <v>2621</v>
      </c>
      <c r="D86" s="247">
        <v>610</v>
      </c>
      <c r="E86" s="332" t="s">
        <v>804</v>
      </c>
      <c r="F86" s="461">
        <f>FLOOR(D86*20,0.01)</f>
        <v>12200</v>
      </c>
      <c r="G86" s="458">
        <f t="shared" si="3"/>
        <v>12627</v>
      </c>
    </row>
    <row r="87" spans="1:7">
      <c r="A87" s="649" t="s">
        <v>821</v>
      </c>
      <c r="B87" s="317" t="s">
        <v>2470</v>
      </c>
      <c r="C87" s="315" t="s">
        <v>2621</v>
      </c>
      <c r="D87" s="247">
        <v>900</v>
      </c>
      <c r="E87" s="332" t="s">
        <v>804</v>
      </c>
      <c r="F87" s="454">
        <f>FLOOR(D87*20,0.01)</f>
        <v>18000</v>
      </c>
      <c r="G87" s="457">
        <f t="shared" si="3"/>
        <v>18630</v>
      </c>
    </row>
    <row r="88" spans="1:7">
      <c r="A88" s="313">
        <v>14</v>
      </c>
      <c r="B88" s="337" t="s">
        <v>2471</v>
      </c>
      <c r="C88" s="327"/>
      <c r="D88" s="247"/>
      <c r="E88" s="316"/>
      <c r="F88" s="427"/>
      <c r="G88" s="457">
        <f t="shared" si="3"/>
        <v>0</v>
      </c>
    </row>
    <row r="89" spans="1:7">
      <c r="A89" s="313"/>
      <c r="B89" s="338" t="s">
        <v>3295</v>
      </c>
      <c r="C89" s="327"/>
      <c r="D89" s="247"/>
      <c r="E89" s="332" t="s">
        <v>804</v>
      </c>
      <c r="F89" s="453"/>
      <c r="G89" s="457">
        <f t="shared" si="3"/>
        <v>0</v>
      </c>
    </row>
    <row r="90" spans="1:7">
      <c r="A90" s="313"/>
      <c r="B90" s="284" t="s">
        <v>2472</v>
      </c>
      <c r="C90" s="321" t="s">
        <v>2970</v>
      </c>
      <c r="D90" s="247">
        <v>68.400000000000006</v>
      </c>
      <c r="E90" s="332" t="s">
        <v>804</v>
      </c>
      <c r="F90" s="460">
        <f>FLOOR(D90*1000,0.01)</f>
        <v>68400</v>
      </c>
      <c r="G90" s="458">
        <f t="shared" si="3"/>
        <v>70794</v>
      </c>
    </row>
    <row r="91" spans="1:7">
      <c r="A91" s="313"/>
      <c r="B91" s="284" t="s">
        <v>2473</v>
      </c>
      <c r="C91" s="321" t="s">
        <v>2970</v>
      </c>
      <c r="D91" s="247">
        <v>61.9</v>
      </c>
      <c r="E91" s="332" t="s">
        <v>804</v>
      </c>
      <c r="F91" s="460">
        <f>FLOOR(D91*1000,0.01)</f>
        <v>61900</v>
      </c>
      <c r="G91" s="458">
        <f t="shared" si="3"/>
        <v>64066.5</v>
      </c>
    </row>
    <row r="92" spans="1:7">
      <c r="A92" s="313"/>
      <c r="B92" s="284" t="s">
        <v>2474</v>
      </c>
      <c r="C92" s="321" t="s">
        <v>3354</v>
      </c>
      <c r="D92" s="247">
        <v>59.9</v>
      </c>
      <c r="E92" s="332" t="s">
        <v>804</v>
      </c>
      <c r="F92" s="460">
        <f>FLOOR(D92*1000,0.01)</f>
        <v>59900</v>
      </c>
      <c r="G92" s="458">
        <f t="shared" si="3"/>
        <v>61996.5</v>
      </c>
    </row>
    <row r="93" spans="1:7">
      <c r="A93" s="313"/>
      <c r="B93" s="284" t="s">
        <v>2475</v>
      </c>
      <c r="C93" s="321" t="s">
        <v>3354</v>
      </c>
      <c r="D93" s="247">
        <v>61.9</v>
      </c>
      <c r="E93" s="332" t="s">
        <v>804</v>
      </c>
      <c r="F93" s="460">
        <f>FLOOR(D93*1000,0.01)</f>
        <v>61900</v>
      </c>
      <c r="G93" s="458">
        <f t="shared" si="3"/>
        <v>64066.5</v>
      </c>
    </row>
    <row r="94" spans="1:7">
      <c r="A94" s="313"/>
      <c r="B94" s="338" t="s">
        <v>3296</v>
      </c>
      <c r="C94" s="327"/>
      <c r="D94" s="247"/>
      <c r="E94" s="332" t="s">
        <v>804</v>
      </c>
      <c r="F94" s="453"/>
      <c r="G94" s="457">
        <f t="shared" si="3"/>
        <v>0</v>
      </c>
    </row>
    <row r="95" spans="1:7">
      <c r="A95" s="313"/>
      <c r="B95" s="284" t="s">
        <v>3297</v>
      </c>
      <c r="C95" s="321" t="s">
        <v>1130</v>
      </c>
      <c r="D95" s="247">
        <v>59.85</v>
      </c>
      <c r="E95" s="332" t="s">
        <v>804</v>
      </c>
      <c r="F95" s="460">
        <f>FLOOR(D95*1000,0.01)</f>
        <v>59850</v>
      </c>
      <c r="G95" s="458">
        <f t="shared" si="3"/>
        <v>61944.75</v>
      </c>
    </row>
    <row r="96" spans="1:7">
      <c r="A96" s="313"/>
      <c r="B96" s="284" t="s">
        <v>2476</v>
      </c>
      <c r="C96" s="321" t="s">
        <v>1130</v>
      </c>
      <c r="D96" s="247">
        <v>57.55</v>
      </c>
      <c r="E96" s="332" t="s">
        <v>804</v>
      </c>
      <c r="F96" s="460">
        <f>FLOOR(D96*1000,0.01)</f>
        <v>57550</v>
      </c>
      <c r="G96" s="458">
        <f t="shared" si="3"/>
        <v>59564.25</v>
      </c>
    </row>
    <row r="97" spans="1:7">
      <c r="A97" s="313"/>
      <c r="B97" s="284" t="s">
        <v>2477</v>
      </c>
      <c r="C97" s="339" t="s">
        <v>1130</v>
      </c>
      <c r="D97" s="247">
        <v>60.35</v>
      </c>
      <c r="E97" s="332" t="s">
        <v>804</v>
      </c>
      <c r="F97" s="460">
        <f>FLOOR(D97*1000,0.01)</f>
        <v>60350</v>
      </c>
      <c r="G97" s="458">
        <f t="shared" si="3"/>
        <v>62462.25</v>
      </c>
    </row>
    <row r="98" spans="1:7">
      <c r="A98" s="313"/>
      <c r="B98" s="314" t="s">
        <v>2248</v>
      </c>
      <c r="C98" s="321"/>
      <c r="D98" s="247"/>
      <c r="E98" s="316"/>
      <c r="F98" s="427"/>
      <c r="G98" s="457"/>
    </row>
    <row r="99" spans="1:7">
      <c r="A99" s="313"/>
      <c r="B99" s="284" t="s">
        <v>2472</v>
      </c>
      <c r="C99" s="321" t="s">
        <v>3354</v>
      </c>
      <c r="D99" s="247">
        <v>59.15</v>
      </c>
      <c r="E99" s="321" t="s">
        <v>3354</v>
      </c>
      <c r="F99" s="426">
        <f>D99</f>
        <v>59.15</v>
      </c>
      <c r="G99" s="457">
        <f t="shared" si="3"/>
        <v>61.22</v>
      </c>
    </row>
    <row r="100" spans="1:7">
      <c r="A100" s="313"/>
      <c r="B100" s="314" t="s">
        <v>2249</v>
      </c>
      <c r="C100" s="321" t="s">
        <v>1130</v>
      </c>
      <c r="D100" s="247">
        <v>76.400000000000006</v>
      </c>
      <c r="E100" s="321" t="s">
        <v>3354</v>
      </c>
      <c r="F100" s="426">
        <f>D100</f>
        <v>76.400000000000006</v>
      </c>
      <c r="G100" s="457">
        <f t="shared" si="3"/>
        <v>79.070000000000007</v>
      </c>
    </row>
    <row r="101" spans="1:7" ht="56.25">
      <c r="A101" s="313">
        <v>15</v>
      </c>
      <c r="B101" s="313" t="s">
        <v>2059</v>
      </c>
      <c r="C101" s="321"/>
      <c r="D101" s="247"/>
      <c r="E101" s="316"/>
      <c r="F101" s="427"/>
      <c r="G101" s="457"/>
    </row>
    <row r="102" spans="1:7">
      <c r="A102" s="313"/>
      <c r="B102" s="284" t="s">
        <v>2060</v>
      </c>
      <c r="C102" s="321" t="s">
        <v>3354</v>
      </c>
      <c r="D102" s="247">
        <v>54</v>
      </c>
      <c r="E102" s="321" t="s">
        <v>3354</v>
      </c>
      <c r="F102" s="426">
        <f t="shared" ref="F102:F119" si="4">D102</f>
        <v>54</v>
      </c>
      <c r="G102" s="457">
        <f t="shared" si="3"/>
        <v>55.89</v>
      </c>
    </row>
    <row r="103" spans="1:7">
      <c r="A103" s="313"/>
      <c r="B103" s="284" t="s">
        <v>2250</v>
      </c>
      <c r="C103" s="321" t="s">
        <v>3354</v>
      </c>
      <c r="D103" s="247">
        <v>57</v>
      </c>
      <c r="E103" s="321" t="s">
        <v>3354</v>
      </c>
      <c r="F103" s="426">
        <f t="shared" si="4"/>
        <v>57</v>
      </c>
      <c r="G103" s="457">
        <f t="shared" si="3"/>
        <v>58.99</v>
      </c>
    </row>
    <row r="104" spans="1:7">
      <c r="A104" s="313"/>
      <c r="B104" s="284" t="s">
        <v>2251</v>
      </c>
      <c r="C104" s="321" t="s">
        <v>3354</v>
      </c>
      <c r="D104" s="247">
        <v>58</v>
      </c>
      <c r="E104" s="321" t="s">
        <v>3354</v>
      </c>
      <c r="F104" s="426">
        <f t="shared" si="4"/>
        <v>58</v>
      </c>
      <c r="G104" s="457">
        <f t="shared" si="3"/>
        <v>60.03</v>
      </c>
    </row>
    <row r="105" spans="1:7">
      <c r="A105" s="313"/>
      <c r="B105" s="284" t="s">
        <v>2252</v>
      </c>
      <c r="C105" s="321" t="s">
        <v>3354</v>
      </c>
      <c r="D105" s="247">
        <v>61</v>
      </c>
      <c r="E105" s="321" t="s">
        <v>3354</v>
      </c>
      <c r="F105" s="426">
        <f t="shared" si="4"/>
        <v>61</v>
      </c>
      <c r="G105" s="457">
        <f t="shared" si="3"/>
        <v>63.13</v>
      </c>
    </row>
    <row r="106" spans="1:7">
      <c r="A106" s="313"/>
      <c r="B106" s="284" t="s">
        <v>2253</v>
      </c>
      <c r="C106" s="321" t="s">
        <v>3354</v>
      </c>
      <c r="D106" s="247">
        <v>61</v>
      </c>
      <c r="E106" s="321" t="s">
        <v>3354</v>
      </c>
      <c r="F106" s="426">
        <f t="shared" si="4"/>
        <v>61</v>
      </c>
      <c r="G106" s="457">
        <f t="shared" si="3"/>
        <v>63.13</v>
      </c>
    </row>
    <row r="107" spans="1:7">
      <c r="A107" s="313"/>
      <c r="B107" s="284" t="s">
        <v>2254</v>
      </c>
      <c r="C107" s="321" t="s">
        <v>3354</v>
      </c>
      <c r="D107" s="247">
        <v>61</v>
      </c>
      <c r="E107" s="321" t="s">
        <v>3354</v>
      </c>
      <c r="F107" s="426">
        <f t="shared" si="4"/>
        <v>61</v>
      </c>
      <c r="G107" s="457">
        <f t="shared" si="3"/>
        <v>63.13</v>
      </c>
    </row>
    <row r="108" spans="1:7" ht="32.25">
      <c r="A108" s="313"/>
      <c r="B108" s="284" t="s">
        <v>2255</v>
      </c>
      <c r="C108" s="321" t="s">
        <v>3354</v>
      </c>
      <c r="D108" s="247">
        <v>61</v>
      </c>
      <c r="E108" s="321" t="s">
        <v>3354</v>
      </c>
      <c r="F108" s="426">
        <f t="shared" si="4"/>
        <v>61</v>
      </c>
      <c r="G108" s="457">
        <f t="shared" si="3"/>
        <v>63.13</v>
      </c>
    </row>
    <row r="109" spans="1:7">
      <c r="A109" s="313"/>
      <c r="B109" s="284" t="s">
        <v>2256</v>
      </c>
      <c r="C109" s="321" t="s">
        <v>3354</v>
      </c>
      <c r="D109" s="247">
        <v>66</v>
      </c>
      <c r="E109" s="321" t="s">
        <v>3354</v>
      </c>
      <c r="F109" s="426">
        <f t="shared" si="4"/>
        <v>66</v>
      </c>
      <c r="G109" s="457">
        <f t="shared" si="3"/>
        <v>68.31</v>
      </c>
    </row>
    <row r="110" spans="1:7">
      <c r="A110" s="313">
        <v>16</v>
      </c>
      <c r="B110" s="313" t="s">
        <v>2061</v>
      </c>
      <c r="C110" s="330"/>
      <c r="D110" s="247"/>
      <c r="E110" s="331"/>
      <c r="F110" s="426">
        <f t="shared" si="4"/>
        <v>0</v>
      </c>
      <c r="G110" s="457">
        <f t="shared" si="3"/>
        <v>0</v>
      </c>
    </row>
    <row r="111" spans="1:7">
      <c r="A111" s="313"/>
      <c r="B111" s="284" t="s">
        <v>2062</v>
      </c>
      <c r="C111" s="321" t="s">
        <v>2970</v>
      </c>
      <c r="D111" s="247">
        <v>68</v>
      </c>
      <c r="E111" s="321" t="s">
        <v>3354</v>
      </c>
      <c r="F111" s="426">
        <f t="shared" si="4"/>
        <v>68</v>
      </c>
      <c r="G111" s="457">
        <f t="shared" si="3"/>
        <v>70.38</v>
      </c>
    </row>
    <row r="112" spans="1:7">
      <c r="A112" s="313"/>
      <c r="B112" s="284" t="s">
        <v>2063</v>
      </c>
      <c r="C112" s="321" t="s">
        <v>1136</v>
      </c>
      <c r="D112" s="247">
        <v>72</v>
      </c>
      <c r="E112" s="321" t="s">
        <v>3354</v>
      </c>
      <c r="F112" s="426">
        <f t="shared" si="4"/>
        <v>72</v>
      </c>
      <c r="G112" s="457">
        <f t="shared" si="3"/>
        <v>74.52</v>
      </c>
    </row>
    <row r="113" spans="1:7">
      <c r="A113" s="313"/>
      <c r="B113" s="284" t="s">
        <v>2633</v>
      </c>
      <c r="C113" s="321" t="s">
        <v>1136</v>
      </c>
      <c r="D113" s="247">
        <v>75</v>
      </c>
      <c r="E113" s="321" t="s">
        <v>3354</v>
      </c>
      <c r="F113" s="426">
        <f t="shared" si="4"/>
        <v>75</v>
      </c>
      <c r="G113" s="457">
        <f t="shared" si="3"/>
        <v>77.62</v>
      </c>
    </row>
    <row r="114" spans="1:7">
      <c r="A114" s="313"/>
      <c r="B114" s="284" t="s">
        <v>2634</v>
      </c>
      <c r="C114" s="321" t="s">
        <v>2970</v>
      </c>
      <c r="D114" s="247">
        <v>68</v>
      </c>
      <c r="E114" s="321" t="s">
        <v>3354</v>
      </c>
      <c r="F114" s="426">
        <f t="shared" si="4"/>
        <v>68</v>
      </c>
      <c r="G114" s="457">
        <f t="shared" si="3"/>
        <v>70.38</v>
      </c>
    </row>
    <row r="115" spans="1:7">
      <c r="A115" s="313"/>
      <c r="B115" s="284" t="s">
        <v>2635</v>
      </c>
      <c r="C115" s="321" t="s">
        <v>1130</v>
      </c>
      <c r="D115" s="247">
        <v>72</v>
      </c>
      <c r="E115" s="321" t="s">
        <v>3354</v>
      </c>
      <c r="F115" s="426">
        <f t="shared" si="4"/>
        <v>72</v>
      </c>
      <c r="G115" s="457">
        <f t="shared" si="3"/>
        <v>74.52</v>
      </c>
    </row>
    <row r="116" spans="1:7">
      <c r="A116" s="313"/>
      <c r="B116" s="284" t="s">
        <v>2636</v>
      </c>
      <c r="C116" s="321" t="s">
        <v>1136</v>
      </c>
      <c r="D116" s="247">
        <v>75</v>
      </c>
      <c r="E116" s="321" t="s">
        <v>3354</v>
      </c>
      <c r="F116" s="426">
        <f t="shared" si="4"/>
        <v>75</v>
      </c>
      <c r="G116" s="457">
        <f t="shared" si="3"/>
        <v>77.62</v>
      </c>
    </row>
    <row r="117" spans="1:7">
      <c r="A117" s="313"/>
      <c r="B117" s="284" t="s">
        <v>2637</v>
      </c>
      <c r="C117" s="321" t="s">
        <v>2970</v>
      </c>
      <c r="D117" s="247">
        <v>69</v>
      </c>
      <c r="E117" s="321" t="s">
        <v>3354</v>
      </c>
      <c r="F117" s="426">
        <f t="shared" si="4"/>
        <v>69</v>
      </c>
      <c r="G117" s="457">
        <f t="shared" si="3"/>
        <v>71.41</v>
      </c>
    </row>
    <row r="118" spans="1:7">
      <c r="A118" s="313"/>
      <c r="B118" s="284" t="s">
        <v>2638</v>
      </c>
      <c r="C118" s="321" t="s">
        <v>1130</v>
      </c>
      <c r="D118" s="247">
        <v>73</v>
      </c>
      <c r="E118" s="321" t="s">
        <v>3354</v>
      </c>
      <c r="F118" s="426">
        <f t="shared" si="4"/>
        <v>73</v>
      </c>
      <c r="G118" s="457">
        <f t="shared" si="3"/>
        <v>75.55</v>
      </c>
    </row>
    <row r="119" spans="1:7">
      <c r="A119" s="313"/>
      <c r="B119" s="284" t="s">
        <v>2639</v>
      </c>
      <c r="C119" s="321" t="s">
        <v>1136</v>
      </c>
      <c r="D119" s="247">
        <v>76</v>
      </c>
      <c r="E119" s="321" t="s">
        <v>3354</v>
      </c>
      <c r="F119" s="426">
        <f t="shared" si="4"/>
        <v>76</v>
      </c>
      <c r="G119" s="457">
        <f t="shared" si="3"/>
        <v>78.66</v>
      </c>
    </row>
    <row r="120" spans="1:7">
      <c r="A120" s="340">
        <v>17</v>
      </c>
      <c r="B120" s="340" t="s">
        <v>2257</v>
      </c>
      <c r="C120" s="341"/>
      <c r="D120" s="247"/>
      <c r="E120" s="316"/>
      <c r="F120" s="426"/>
      <c r="G120" s="457">
        <f t="shared" si="3"/>
        <v>0</v>
      </c>
    </row>
    <row r="121" spans="1:7">
      <c r="A121" s="340"/>
      <c r="B121" s="284" t="s">
        <v>2258</v>
      </c>
      <c r="C121" s="321" t="s">
        <v>2970</v>
      </c>
      <c r="D121" s="247">
        <v>85</v>
      </c>
      <c r="E121" s="321" t="s">
        <v>3354</v>
      </c>
      <c r="F121" s="426">
        <f>D121</f>
        <v>85</v>
      </c>
      <c r="G121" s="457">
        <f t="shared" si="3"/>
        <v>87.97</v>
      </c>
    </row>
    <row r="122" spans="1:7">
      <c r="A122" s="340"/>
      <c r="B122" s="284" t="s">
        <v>2461</v>
      </c>
      <c r="C122" s="315" t="s">
        <v>1134</v>
      </c>
      <c r="D122" s="247">
        <v>0.5</v>
      </c>
      <c r="E122" s="321" t="s">
        <v>3354</v>
      </c>
      <c r="F122" s="426">
        <f>D122</f>
        <v>0.5</v>
      </c>
      <c r="G122" s="457">
        <f t="shared" si="3"/>
        <v>0.51</v>
      </c>
    </row>
    <row r="123" spans="1:7">
      <c r="A123" s="340">
        <v>18</v>
      </c>
      <c r="B123" s="337" t="s">
        <v>2259</v>
      </c>
      <c r="C123" s="342"/>
      <c r="D123" s="343"/>
      <c r="E123" s="343"/>
      <c r="F123" s="431"/>
      <c r="G123" s="457">
        <f t="shared" si="3"/>
        <v>0</v>
      </c>
    </row>
    <row r="124" spans="1:7">
      <c r="A124" s="313"/>
      <c r="B124" s="337" t="s">
        <v>2260</v>
      </c>
      <c r="C124" s="315"/>
      <c r="D124" s="344"/>
      <c r="E124" s="344"/>
      <c r="F124" s="432"/>
      <c r="G124" s="457">
        <f t="shared" si="3"/>
        <v>0</v>
      </c>
    </row>
    <row r="125" spans="1:7">
      <c r="A125" s="313"/>
      <c r="B125" s="284" t="s">
        <v>2261</v>
      </c>
      <c r="C125" s="321" t="s">
        <v>2640</v>
      </c>
      <c r="D125" s="247">
        <v>3260.18</v>
      </c>
      <c r="E125" s="315" t="s">
        <v>2110</v>
      </c>
      <c r="F125" s="426">
        <f t="shared" ref="F125:F136" si="5">FLOOR(D125/17.56,0.01)</f>
        <v>185.65</v>
      </c>
      <c r="G125" s="457">
        <f t="shared" si="3"/>
        <v>192.14000000000001</v>
      </c>
    </row>
    <row r="126" spans="1:7">
      <c r="A126" s="313"/>
      <c r="B126" s="284" t="s">
        <v>2262</v>
      </c>
      <c r="C126" s="321" t="s">
        <v>1130</v>
      </c>
      <c r="D126" s="247">
        <v>3523.01</v>
      </c>
      <c r="E126" s="315" t="s">
        <v>2110</v>
      </c>
      <c r="F126" s="426">
        <f t="shared" si="5"/>
        <v>200.62</v>
      </c>
      <c r="G126" s="457">
        <f t="shared" si="3"/>
        <v>207.64000000000001</v>
      </c>
    </row>
    <row r="127" spans="1:7">
      <c r="A127" s="313"/>
      <c r="B127" s="284" t="s">
        <v>2263</v>
      </c>
      <c r="C127" s="321" t="s">
        <v>1130</v>
      </c>
      <c r="D127" s="247">
        <v>3810.62</v>
      </c>
      <c r="E127" s="315" t="s">
        <v>2110</v>
      </c>
      <c r="F127" s="426">
        <f t="shared" si="5"/>
        <v>217</v>
      </c>
      <c r="G127" s="457">
        <f t="shared" si="3"/>
        <v>224.59</v>
      </c>
    </row>
    <row r="128" spans="1:7">
      <c r="A128" s="313"/>
      <c r="B128" s="284" t="s">
        <v>2939</v>
      </c>
      <c r="C128" s="321" t="s">
        <v>1130</v>
      </c>
      <c r="D128" s="247">
        <v>4015.04</v>
      </c>
      <c r="E128" s="315" t="s">
        <v>2110</v>
      </c>
      <c r="F128" s="426">
        <f t="shared" si="5"/>
        <v>228.64000000000001</v>
      </c>
      <c r="G128" s="457">
        <f t="shared" si="3"/>
        <v>236.64000000000001</v>
      </c>
    </row>
    <row r="129" spans="1:7">
      <c r="A129" s="313"/>
      <c r="B129" s="284" t="s">
        <v>2940</v>
      </c>
      <c r="C129" s="321" t="s">
        <v>1130</v>
      </c>
      <c r="D129" s="247">
        <v>4212.3900000000003</v>
      </c>
      <c r="E129" s="315" t="s">
        <v>2110</v>
      </c>
      <c r="F129" s="426">
        <f t="shared" si="5"/>
        <v>239.88</v>
      </c>
      <c r="G129" s="457">
        <f t="shared" si="3"/>
        <v>248.27</v>
      </c>
    </row>
    <row r="130" spans="1:7">
      <c r="A130" s="313"/>
      <c r="B130" s="284" t="s">
        <v>2462</v>
      </c>
      <c r="C130" s="321" t="s">
        <v>1130</v>
      </c>
      <c r="D130" s="247">
        <v>4226.55</v>
      </c>
      <c r="E130" s="315" t="s">
        <v>2110</v>
      </c>
      <c r="F130" s="426">
        <f t="shared" si="5"/>
        <v>240.69</v>
      </c>
      <c r="G130" s="457">
        <f t="shared" si="3"/>
        <v>249.11</v>
      </c>
    </row>
    <row r="131" spans="1:7">
      <c r="A131" s="313"/>
      <c r="B131" s="284" t="s">
        <v>2942</v>
      </c>
      <c r="C131" s="321" t="s">
        <v>1130</v>
      </c>
      <c r="D131" s="247">
        <v>5069.03</v>
      </c>
      <c r="E131" s="315" t="s">
        <v>2110</v>
      </c>
      <c r="F131" s="426">
        <f t="shared" si="5"/>
        <v>288.66000000000003</v>
      </c>
      <c r="G131" s="457">
        <f t="shared" si="3"/>
        <v>298.76</v>
      </c>
    </row>
    <row r="132" spans="1:7">
      <c r="A132" s="313"/>
      <c r="B132" s="284" t="s">
        <v>2463</v>
      </c>
      <c r="C132" s="321" t="s">
        <v>1130</v>
      </c>
      <c r="D132" s="247">
        <v>5484.07</v>
      </c>
      <c r="E132" s="315" t="s">
        <v>2110</v>
      </c>
      <c r="F132" s="426">
        <f t="shared" si="5"/>
        <v>312.3</v>
      </c>
      <c r="G132" s="457">
        <f t="shared" si="3"/>
        <v>323.23</v>
      </c>
    </row>
    <row r="133" spans="1:7">
      <c r="A133" s="313"/>
      <c r="B133" s="284" t="s">
        <v>2944</v>
      </c>
      <c r="C133" s="321" t="s">
        <v>1130</v>
      </c>
      <c r="D133" s="247">
        <v>5849.56</v>
      </c>
      <c r="E133" s="315" t="s">
        <v>2110</v>
      </c>
      <c r="F133" s="426">
        <f t="shared" si="5"/>
        <v>333.11</v>
      </c>
      <c r="G133" s="457">
        <f t="shared" si="3"/>
        <v>344.76</v>
      </c>
    </row>
    <row r="134" spans="1:7">
      <c r="A134" s="313"/>
      <c r="B134" s="284" t="s">
        <v>2945</v>
      </c>
      <c r="C134" s="321" t="s">
        <v>1130</v>
      </c>
      <c r="D134" s="247">
        <v>6407.96</v>
      </c>
      <c r="E134" s="315" t="s">
        <v>2110</v>
      </c>
      <c r="F134" s="426">
        <f t="shared" si="5"/>
        <v>364.91</v>
      </c>
      <c r="G134" s="457">
        <f t="shared" si="3"/>
        <v>377.68</v>
      </c>
    </row>
    <row r="135" spans="1:7">
      <c r="A135" s="313"/>
      <c r="B135" s="284" t="s">
        <v>2946</v>
      </c>
      <c r="C135" s="321" t="s">
        <v>1130</v>
      </c>
      <c r="D135" s="247">
        <v>7019.47</v>
      </c>
      <c r="E135" s="315" t="s">
        <v>2110</v>
      </c>
      <c r="F135" s="426">
        <f t="shared" si="5"/>
        <v>399.74</v>
      </c>
      <c r="G135" s="457">
        <f t="shared" si="3"/>
        <v>413.73</v>
      </c>
    </row>
    <row r="136" spans="1:7">
      <c r="A136" s="313"/>
      <c r="B136" s="284" t="s">
        <v>2947</v>
      </c>
      <c r="C136" s="321" t="s">
        <v>1130</v>
      </c>
      <c r="D136" s="247">
        <v>7323.89</v>
      </c>
      <c r="E136" s="315" t="s">
        <v>2110</v>
      </c>
      <c r="F136" s="426">
        <f t="shared" si="5"/>
        <v>417.07</v>
      </c>
      <c r="G136" s="457">
        <f t="shared" si="3"/>
        <v>431.66</v>
      </c>
    </row>
    <row r="137" spans="1:7">
      <c r="A137" s="313"/>
      <c r="B137" s="314" t="s">
        <v>2641</v>
      </c>
      <c r="C137" s="314"/>
      <c r="D137" s="247"/>
      <c r="E137" s="325"/>
      <c r="F137" s="430"/>
      <c r="G137" s="457">
        <f t="shared" si="3"/>
        <v>0</v>
      </c>
    </row>
    <row r="138" spans="1:7">
      <c r="A138" s="313"/>
      <c r="B138" s="284" t="s">
        <v>2261</v>
      </c>
      <c r="C138" s="321" t="s">
        <v>2640</v>
      </c>
      <c r="D138" s="247">
        <v>4476.1099999999997</v>
      </c>
      <c r="E138" s="315" t="s">
        <v>2110</v>
      </c>
      <c r="F138" s="426">
        <f t="shared" ref="F138:F149" si="6">FLOOR(D138/17.56,0.01)</f>
        <v>254.9</v>
      </c>
      <c r="G138" s="457">
        <f t="shared" si="3"/>
        <v>263.82</v>
      </c>
    </row>
    <row r="139" spans="1:7">
      <c r="A139" s="313"/>
      <c r="B139" s="284" t="s">
        <v>2262</v>
      </c>
      <c r="C139" s="321" t="s">
        <v>1130</v>
      </c>
      <c r="D139" s="247">
        <v>4738.05</v>
      </c>
      <c r="E139" s="315" t="s">
        <v>2110</v>
      </c>
      <c r="F139" s="426">
        <f t="shared" si="6"/>
        <v>269.82</v>
      </c>
      <c r="G139" s="457">
        <f t="shared" si="3"/>
        <v>279.26</v>
      </c>
    </row>
    <row r="140" spans="1:7">
      <c r="A140" s="313"/>
      <c r="B140" s="284" t="s">
        <v>2263</v>
      </c>
      <c r="C140" s="321" t="s">
        <v>1130</v>
      </c>
      <c r="D140" s="247">
        <v>4984.96</v>
      </c>
      <c r="E140" s="315" t="s">
        <v>2110</v>
      </c>
      <c r="F140" s="426">
        <f t="shared" si="6"/>
        <v>283.88</v>
      </c>
      <c r="G140" s="457">
        <f t="shared" si="3"/>
        <v>293.81</v>
      </c>
    </row>
    <row r="141" spans="1:7">
      <c r="A141" s="313"/>
      <c r="B141" s="284" t="s">
        <v>2939</v>
      </c>
      <c r="C141" s="321" t="s">
        <v>1130</v>
      </c>
      <c r="D141" s="247">
        <v>5255.75</v>
      </c>
      <c r="E141" s="315" t="s">
        <v>2110</v>
      </c>
      <c r="F141" s="426">
        <f t="shared" si="6"/>
        <v>299.3</v>
      </c>
      <c r="G141" s="457">
        <f t="shared" ref="G141:G204" si="7">FLOOR(F141*1.035,0.01)</f>
        <v>309.77</v>
      </c>
    </row>
    <row r="142" spans="1:7">
      <c r="A142" s="313"/>
      <c r="B142" s="284" t="s">
        <v>2940</v>
      </c>
      <c r="C142" s="321" t="s">
        <v>1130</v>
      </c>
      <c r="D142" s="247">
        <v>5568.14</v>
      </c>
      <c r="E142" s="315" t="s">
        <v>2110</v>
      </c>
      <c r="F142" s="426">
        <f t="shared" si="6"/>
        <v>317.09000000000003</v>
      </c>
      <c r="G142" s="457">
        <f t="shared" si="7"/>
        <v>328.18</v>
      </c>
    </row>
    <row r="143" spans="1:7">
      <c r="A143" s="313"/>
      <c r="B143" s="284" t="s">
        <v>2941</v>
      </c>
      <c r="C143" s="321" t="s">
        <v>1130</v>
      </c>
      <c r="D143" s="247">
        <v>5933.63</v>
      </c>
      <c r="E143" s="315" t="s">
        <v>2110</v>
      </c>
      <c r="F143" s="426">
        <f t="shared" si="6"/>
        <v>337.90000000000003</v>
      </c>
      <c r="G143" s="457">
        <f t="shared" si="7"/>
        <v>349.72</v>
      </c>
    </row>
    <row r="144" spans="1:7">
      <c r="A144" s="313"/>
      <c r="B144" s="284" t="s">
        <v>2942</v>
      </c>
      <c r="C144" s="321" t="s">
        <v>1130</v>
      </c>
      <c r="D144" s="247">
        <v>6549.56</v>
      </c>
      <c r="E144" s="315" t="s">
        <v>2110</v>
      </c>
      <c r="F144" s="426">
        <f t="shared" si="6"/>
        <v>372.98</v>
      </c>
      <c r="G144" s="457">
        <f t="shared" si="7"/>
        <v>386.03000000000003</v>
      </c>
    </row>
    <row r="145" spans="1:7">
      <c r="A145" s="313"/>
      <c r="B145" s="284" t="s">
        <v>2943</v>
      </c>
      <c r="C145" s="321" t="s">
        <v>1130</v>
      </c>
      <c r="D145" s="247">
        <v>7014.95</v>
      </c>
      <c r="E145" s="315" t="s">
        <v>2110</v>
      </c>
      <c r="F145" s="426">
        <f t="shared" si="6"/>
        <v>399.48</v>
      </c>
      <c r="G145" s="457">
        <f t="shared" si="7"/>
        <v>413.46000000000004</v>
      </c>
    </row>
    <row r="146" spans="1:7">
      <c r="A146" s="313"/>
      <c r="B146" s="284" t="s">
        <v>2944</v>
      </c>
      <c r="C146" s="321" t="s">
        <v>1130</v>
      </c>
      <c r="D146" s="247">
        <v>7461.95</v>
      </c>
      <c r="E146" s="315" t="s">
        <v>2110</v>
      </c>
      <c r="F146" s="426">
        <f t="shared" si="6"/>
        <v>424.94</v>
      </c>
      <c r="G146" s="457">
        <f t="shared" si="7"/>
        <v>439.81</v>
      </c>
    </row>
    <row r="147" spans="1:7">
      <c r="A147" s="313"/>
      <c r="B147" s="284" t="s">
        <v>2945</v>
      </c>
      <c r="C147" s="321" t="s">
        <v>1130</v>
      </c>
      <c r="D147" s="247">
        <v>8021.24</v>
      </c>
      <c r="E147" s="315" t="s">
        <v>2110</v>
      </c>
      <c r="F147" s="426">
        <f t="shared" si="6"/>
        <v>456.79</v>
      </c>
      <c r="G147" s="457">
        <f t="shared" si="7"/>
        <v>472.77</v>
      </c>
    </row>
    <row r="148" spans="1:7">
      <c r="A148" s="313"/>
      <c r="B148" s="284" t="s">
        <v>2946</v>
      </c>
      <c r="C148" s="321" t="s">
        <v>1130</v>
      </c>
      <c r="D148" s="247">
        <v>8747.7900000000009</v>
      </c>
      <c r="E148" s="315" t="s">
        <v>2110</v>
      </c>
      <c r="F148" s="426">
        <f t="shared" si="6"/>
        <v>498.16</v>
      </c>
      <c r="G148" s="457">
        <f t="shared" si="7"/>
        <v>515.59</v>
      </c>
    </row>
    <row r="149" spans="1:7">
      <c r="A149" s="313"/>
      <c r="B149" s="284" t="s">
        <v>2947</v>
      </c>
      <c r="C149" s="321" t="s">
        <v>1130</v>
      </c>
      <c r="D149" s="247">
        <v>9043.36</v>
      </c>
      <c r="E149" s="315" t="s">
        <v>2110</v>
      </c>
      <c r="F149" s="426">
        <f t="shared" si="6"/>
        <v>514.99</v>
      </c>
      <c r="G149" s="457">
        <f t="shared" si="7"/>
        <v>533.01</v>
      </c>
    </row>
    <row r="150" spans="1:7" ht="36.75">
      <c r="A150" s="313"/>
      <c r="B150" s="314" t="s">
        <v>2948</v>
      </c>
      <c r="C150" s="314"/>
      <c r="D150" s="247"/>
      <c r="E150" s="325"/>
      <c r="F150" s="430"/>
      <c r="G150" s="457">
        <f t="shared" si="7"/>
        <v>0</v>
      </c>
    </row>
    <row r="151" spans="1:7">
      <c r="A151" s="313"/>
      <c r="B151" s="284" t="s">
        <v>2261</v>
      </c>
      <c r="C151" s="321" t="s">
        <v>2640</v>
      </c>
      <c r="D151" s="247">
        <v>3260.18</v>
      </c>
      <c r="E151" s="315" t="s">
        <v>2110</v>
      </c>
      <c r="F151" s="426">
        <f t="shared" ref="F151:F162" si="8">FLOOR(D151/17.56,0.01)</f>
        <v>185.65</v>
      </c>
      <c r="G151" s="457">
        <f t="shared" si="7"/>
        <v>192.14000000000001</v>
      </c>
    </row>
    <row r="152" spans="1:7">
      <c r="A152" s="313"/>
      <c r="B152" s="284" t="s">
        <v>2262</v>
      </c>
      <c r="C152" s="321" t="s">
        <v>1130</v>
      </c>
      <c r="D152" s="247">
        <v>3481.42</v>
      </c>
      <c r="E152" s="315" t="s">
        <v>2110</v>
      </c>
      <c r="F152" s="426">
        <f t="shared" si="8"/>
        <v>198.25</v>
      </c>
      <c r="G152" s="457">
        <f t="shared" si="7"/>
        <v>205.18</v>
      </c>
    </row>
    <row r="153" spans="1:7">
      <c r="A153" s="313"/>
      <c r="B153" s="284" t="s">
        <v>2263</v>
      </c>
      <c r="C153" s="321" t="s">
        <v>1130</v>
      </c>
      <c r="D153" s="247">
        <v>3769.03</v>
      </c>
      <c r="E153" s="315" t="s">
        <v>2110</v>
      </c>
      <c r="F153" s="426">
        <f t="shared" si="8"/>
        <v>214.63</v>
      </c>
      <c r="G153" s="457">
        <f t="shared" si="7"/>
        <v>222.14000000000001</v>
      </c>
    </row>
    <row r="154" spans="1:7">
      <c r="A154" s="313"/>
      <c r="B154" s="284" t="s">
        <v>2939</v>
      </c>
      <c r="C154" s="321" t="s">
        <v>1130</v>
      </c>
      <c r="D154" s="247">
        <v>3965.49</v>
      </c>
      <c r="E154" s="315" t="s">
        <v>2110</v>
      </c>
      <c r="F154" s="426">
        <f t="shared" si="8"/>
        <v>225.82</v>
      </c>
      <c r="G154" s="457">
        <f t="shared" si="7"/>
        <v>233.72</v>
      </c>
    </row>
    <row r="155" spans="1:7">
      <c r="A155" s="313"/>
      <c r="B155" s="284" t="s">
        <v>2940</v>
      </c>
      <c r="C155" s="321" t="s">
        <v>1130</v>
      </c>
      <c r="D155" s="247">
        <v>4161.95</v>
      </c>
      <c r="E155" s="315" t="s">
        <v>2110</v>
      </c>
      <c r="F155" s="426">
        <f t="shared" si="8"/>
        <v>237.01</v>
      </c>
      <c r="G155" s="457">
        <f t="shared" si="7"/>
        <v>245.3</v>
      </c>
    </row>
    <row r="156" spans="1:7">
      <c r="A156" s="313"/>
      <c r="B156" s="284" t="s">
        <v>2941</v>
      </c>
      <c r="C156" s="321" t="s">
        <v>1130</v>
      </c>
      <c r="D156" s="247">
        <v>4569.03</v>
      </c>
      <c r="E156" s="315" t="s">
        <v>2110</v>
      </c>
      <c r="F156" s="426">
        <f t="shared" si="8"/>
        <v>260.19</v>
      </c>
      <c r="G156" s="457">
        <f t="shared" si="7"/>
        <v>269.29000000000002</v>
      </c>
    </row>
    <row r="157" spans="1:7">
      <c r="A157" s="313"/>
      <c r="B157" s="284" t="s">
        <v>2942</v>
      </c>
      <c r="C157" s="321" t="s">
        <v>1130</v>
      </c>
      <c r="D157" s="247">
        <v>5019.47</v>
      </c>
      <c r="E157" s="315" t="s">
        <v>2110</v>
      </c>
      <c r="F157" s="426">
        <f t="shared" si="8"/>
        <v>285.84000000000003</v>
      </c>
      <c r="G157" s="457">
        <f t="shared" si="7"/>
        <v>295.84000000000003</v>
      </c>
    </row>
    <row r="158" spans="1:7">
      <c r="A158" s="313"/>
      <c r="B158" s="284" t="s">
        <v>2943</v>
      </c>
      <c r="C158" s="321" t="s">
        <v>1130</v>
      </c>
      <c r="D158" s="247">
        <v>5426.55</v>
      </c>
      <c r="E158" s="315" t="s">
        <v>2110</v>
      </c>
      <c r="F158" s="426">
        <f t="shared" si="8"/>
        <v>309.02</v>
      </c>
      <c r="G158" s="457">
        <f t="shared" si="7"/>
        <v>319.83</v>
      </c>
    </row>
    <row r="159" spans="1:7">
      <c r="A159" s="313"/>
      <c r="B159" s="284" t="s">
        <v>2944</v>
      </c>
      <c r="C159" s="321" t="s">
        <v>1130</v>
      </c>
      <c r="D159" s="247">
        <v>5791.15</v>
      </c>
      <c r="E159" s="315" t="s">
        <v>2110</v>
      </c>
      <c r="F159" s="426">
        <f t="shared" si="8"/>
        <v>329.79</v>
      </c>
      <c r="G159" s="457">
        <f t="shared" si="7"/>
        <v>341.33</v>
      </c>
    </row>
    <row r="160" spans="1:7">
      <c r="A160" s="313"/>
      <c r="B160" s="284" t="s">
        <v>2945</v>
      </c>
      <c r="C160" s="321" t="s">
        <v>1130</v>
      </c>
      <c r="D160" s="247">
        <v>6358.41</v>
      </c>
      <c r="E160" s="315" t="s">
        <v>2110</v>
      </c>
      <c r="F160" s="426">
        <f t="shared" si="8"/>
        <v>362.09000000000003</v>
      </c>
      <c r="G160" s="457">
        <f t="shared" si="7"/>
        <v>374.76</v>
      </c>
    </row>
    <row r="161" spans="1:7">
      <c r="A161" s="313"/>
      <c r="B161" s="284" t="s">
        <v>2946</v>
      </c>
      <c r="C161" s="321" t="s">
        <v>1130</v>
      </c>
      <c r="D161" s="247">
        <v>6961.95</v>
      </c>
      <c r="E161" s="315" t="s">
        <v>2110</v>
      </c>
      <c r="F161" s="426">
        <f t="shared" si="8"/>
        <v>396.46000000000004</v>
      </c>
      <c r="G161" s="457">
        <f t="shared" si="7"/>
        <v>410.33</v>
      </c>
    </row>
    <row r="162" spans="1:7">
      <c r="A162" s="313"/>
      <c r="B162" s="284" t="s">
        <v>2947</v>
      </c>
      <c r="C162" s="321" t="s">
        <v>1130</v>
      </c>
      <c r="D162" s="247">
        <v>7265.49</v>
      </c>
      <c r="E162" s="315" t="s">
        <v>2110</v>
      </c>
      <c r="F162" s="426">
        <f t="shared" si="8"/>
        <v>413.75</v>
      </c>
      <c r="G162" s="457">
        <f t="shared" si="7"/>
        <v>428.23</v>
      </c>
    </row>
    <row r="163" spans="1:7" ht="56.25">
      <c r="A163" s="340"/>
      <c r="B163" s="314" t="s">
        <v>2949</v>
      </c>
      <c r="C163" s="314"/>
      <c r="D163" s="247"/>
      <c r="E163" s="325"/>
      <c r="F163" s="430"/>
      <c r="G163" s="457">
        <f t="shared" si="7"/>
        <v>0</v>
      </c>
    </row>
    <row r="164" spans="1:7">
      <c r="A164" s="313"/>
      <c r="B164" s="314" t="s">
        <v>2642</v>
      </c>
      <c r="C164" s="314"/>
      <c r="D164" s="247"/>
      <c r="E164" s="325"/>
      <c r="F164" s="430"/>
      <c r="G164" s="457">
        <f t="shared" si="7"/>
        <v>0</v>
      </c>
    </row>
    <row r="165" spans="1:7">
      <c r="A165" s="313"/>
      <c r="B165" s="345" t="s">
        <v>2950</v>
      </c>
      <c r="C165" s="433" t="s">
        <v>2640</v>
      </c>
      <c r="D165" s="247">
        <v>1354.87</v>
      </c>
      <c r="E165" s="434"/>
      <c r="F165" s="435"/>
      <c r="G165" s="457">
        <f t="shared" si="7"/>
        <v>0</v>
      </c>
    </row>
    <row r="166" spans="1:7">
      <c r="A166" s="313"/>
      <c r="B166" s="345" t="s">
        <v>2951</v>
      </c>
      <c r="C166" s="433" t="s">
        <v>1130</v>
      </c>
      <c r="D166" s="247">
        <v>1420.35</v>
      </c>
      <c r="E166" s="434"/>
      <c r="F166" s="435"/>
      <c r="G166" s="457">
        <f t="shared" si="7"/>
        <v>0</v>
      </c>
    </row>
    <row r="167" spans="1:7">
      <c r="A167" s="313"/>
      <c r="B167" s="284" t="s">
        <v>2952</v>
      </c>
      <c r="C167" s="433" t="s">
        <v>1130</v>
      </c>
      <c r="D167" s="247">
        <v>1555.75</v>
      </c>
      <c r="E167" s="434"/>
      <c r="F167" s="435"/>
      <c r="G167" s="457">
        <f t="shared" si="7"/>
        <v>0</v>
      </c>
    </row>
    <row r="168" spans="1:7">
      <c r="A168" s="313"/>
      <c r="B168" s="284" t="s">
        <v>2953</v>
      </c>
      <c r="C168" s="433" t="s">
        <v>1130</v>
      </c>
      <c r="D168" s="247">
        <v>1706.19</v>
      </c>
      <c r="E168" s="434"/>
      <c r="F168" s="435"/>
      <c r="G168" s="457">
        <f t="shared" si="7"/>
        <v>0</v>
      </c>
    </row>
    <row r="169" spans="1:7">
      <c r="A169" s="313"/>
      <c r="B169" s="284" t="s">
        <v>2954</v>
      </c>
      <c r="C169" s="433" t="s">
        <v>1130</v>
      </c>
      <c r="D169" s="247">
        <v>1842.48</v>
      </c>
      <c r="E169" s="434"/>
      <c r="F169" s="435"/>
      <c r="G169" s="457">
        <f t="shared" si="7"/>
        <v>0</v>
      </c>
    </row>
    <row r="170" spans="1:7">
      <c r="A170" s="313"/>
      <c r="B170" s="284" t="s">
        <v>90</v>
      </c>
      <c r="C170" s="433" t="s">
        <v>1130</v>
      </c>
      <c r="D170" s="247">
        <v>1963.72</v>
      </c>
      <c r="E170" s="434"/>
      <c r="F170" s="435"/>
      <c r="G170" s="457">
        <f t="shared" si="7"/>
        <v>0</v>
      </c>
    </row>
    <row r="171" spans="1:7">
      <c r="A171" s="340"/>
      <c r="B171" s="314" t="s">
        <v>91</v>
      </c>
      <c r="C171" s="314"/>
      <c r="D171" s="247"/>
      <c r="E171" s="325"/>
      <c r="F171" s="430"/>
      <c r="G171" s="457">
        <f t="shared" si="7"/>
        <v>0</v>
      </c>
    </row>
    <row r="172" spans="1:7">
      <c r="A172" s="313"/>
      <c r="B172" s="317" t="s">
        <v>2304</v>
      </c>
      <c r="C172" s="321" t="s">
        <v>2643</v>
      </c>
      <c r="D172" s="247">
        <v>1038.94</v>
      </c>
      <c r="E172" s="315" t="s">
        <v>1101</v>
      </c>
      <c r="F172" s="429">
        <f t="shared" ref="F172:F177" si="9">FLOOR(D172/8*3.28,0.01)</f>
        <v>425.96000000000004</v>
      </c>
      <c r="G172" s="457">
        <f t="shared" si="7"/>
        <v>440.86</v>
      </c>
    </row>
    <row r="173" spans="1:7">
      <c r="A173" s="313"/>
      <c r="B173" s="317" t="s">
        <v>1664</v>
      </c>
      <c r="C173" s="321" t="s">
        <v>1130</v>
      </c>
      <c r="D173" s="247">
        <v>1130.94</v>
      </c>
      <c r="E173" s="315" t="s">
        <v>1101</v>
      </c>
      <c r="F173" s="429">
        <f t="shared" si="9"/>
        <v>463.68</v>
      </c>
      <c r="G173" s="457">
        <f t="shared" si="7"/>
        <v>479.90000000000003</v>
      </c>
    </row>
    <row r="174" spans="1:7">
      <c r="A174" s="313"/>
      <c r="B174" s="317" t="s">
        <v>1665</v>
      </c>
      <c r="C174" s="321" t="s">
        <v>1130</v>
      </c>
      <c r="D174" s="247">
        <v>1270.8</v>
      </c>
      <c r="E174" s="315" t="s">
        <v>1101</v>
      </c>
      <c r="F174" s="429">
        <f t="shared" si="9"/>
        <v>521.02</v>
      </c>
      <c r="G174" s="457">
        <f t="shared" si="7"/>
        <v>539.25</v>
      </c>
    </row>
    <row r="175" spans="1:7">
      <c r="A175" s="313"/>
      <c r="B175" s="317" t="s">
        <v>1666</v>
      </c>
      <c r="C175" s="321" t="s">
        <v>1130</v>
      </c>
      <c r="D175" s="247">
        <v>1515.93</v>
      </c>
      <c r="E175" s="315" t="s">
        <v>1101</v>
      </c>
      <c r="F175" s="429">
        <f>FLOOR(D175/8*3.28,0.01)</f>
        <v>621.53</v>
      </c>
      <c r="G175" s="457">
        <f t="shared" si="7"/>
        <v>643.28</v>
      </c>
    </row>
    <row r="176" spans="1:7">
      <c r="A176" s="313"/>
      <c r="B176" s="317" t="s">
        <v>1667</v>
      </c>
      <c r="C176" s="321" t="s">
        <v>1130</v>
      </c>
      <c r="D176" s="247">
        <v>1615.04</v>
      </c>
      <c r="E176" s="315" t="s">
        <v>1101</v>
      </c>
      <c r="F176" s="429">
        <f t="shared" si="9"/>
        <v>662.16</v>
      </c>
      <c r="G176" s="457">
        <f t="shared" si="7"/>
        <v>685.33</v>
      </c>
    </row>
    <row r="177" spans="1:7">
      <c r="A177" s="313"/>
      <c r="B177" s="317" t="s">
        <v>1668</v>
      </c>
      <c r="C177" s="321" t="s">
        <v>1130</v>
      </c>
      <c r="D177" s="247">
        <v>1795.58</v>
      </c>
      <c r="E177" s="315" t="s">
        <v>1101</v>
      </c>
      <c r="F177" s="429">
        <f t="shared" si="9"/>
        <v>736.18000000000006</v>
      </c>
      <c r="G177" s="457">
        <f t="shared" si="7"/>
        <v>761.94</v>
      </c>
    </row>
    <row r="178" spans="1:7">
      <c r="A178" s="313"/>
      <c r="B178" s="314" t="s">
        <v>2305</v>
      </c>
      <c r="C178" s="314"/>
      <c r="D178" s="247"/>
      <c r="E178" s="325"/>
      <c r="F178" s="430"/>
      <c r="G178" s="457">
        <f t="shared" si="7"/>
        <v>0</v>
      </c>
    </row>
    <row r="179" spans="1:7">
      <c r="A179" s="313"/>
      <c r="B179" s="317" t="s">
        <v>1669</v>
      </c>
      <c r="C179" s="321" t="s">
        <v>2643</v>
      </c>
      <c r="D179" s="247">
        <v>1262.83</v>
      </c>
      <c r="E179" s="315" t="s">
        <v>1101</v>
      </c>
      <c r="F179" s="429">
        <f t="shared" ref="F179:F184" si="10">FLOOR(D179/8*3.28,0.01)</f>
        <v>517.76</v>
      </c>
      <c r="G179" s="457">
        <f t="shared" si="7"/>
        <v>535.88</v>
      </c>
    </row>
    <row r="180" spans="1:7">
      <c r="A180" s="313"/>
      <c r="B180" s="317" t="s">
        <v>1664</v>
      </c>
      <c r="C180" s="321" t="s">
        <v>1130</v>
      </c>
      <c r="D180" s="247">
        <v>1369.91</v>
      </c>
      <c r="E180" s="315" t="s">
        <v>1101</v>
      </c>
      <c r="F180" s="429">
        <f t="shared" si="10"/>
        <v>561.66</v>
      </c>
      <c r="G180" s="457">
        <f t="shared" si="7"/>
        <v>581.31000000000006</v>
      </c>
    </row>
    <row r="181" spans="1:7">
      <c r="A181" s="313"/>
      <c r="B181" s="317" t="s">
        <v>1670</v>
      </c>
      <c r="C181" s="321" t="s">
        <v>1130</v>
      </c>
      <c r="D181" s="247">
        <v>1524.78</v>
      </c>
      <c r="E181" s="315" t="s">
        <v>1101</v>
      </c>
      <c r="F181" s="429">
        <f t="shared" si="10"/>
        <v>625.15</v>
      </c>
      <c r="G181" s="457">
        <f t="shared" si="7"/>
        <v>647.03</v>
      </c>
    </row>
    <row r="182" spans="1:7">
      <c r="A182" s="313"/>
      <c r="B182" s="317" t="s">
        <v>1666</v>
      </c>
      <c r="C182" s="321" t="s">
        <v>1130</v>
      </c>
      <c r="D182" s="247">
        <v>1786.73</v>
      </c>
      <c r="E182" s="315" t="s">
        <v>1101</v>
      </c>
      <c r="F182" s="429">
        <f t="shared" si="10"/>
        <v>732.55000000000007</v>
      </c>
      <c r="G182" s="457">
        <f t="shared" si="7"/>
        <v>758.18000000000006</v>
      </c>
    </row>
    <row r="183" spans="1:7">
      <c r="A183" s="313"/>
      <c r="B183" s="317" t="s">
        <v>1667</v>
      </c>
      <c r="C183" s="321" t="s">
        <v>1130</v>
      </c>
      <c r="D183" s="247">
        <v>1878.76</v>
      </c>
      <c r="E183" s="315" t="s">
        <v>1101</v>
      </c>
      <c r="F183" s="429">
        <f t="shared" si="10"/>
        <v>770.29</v>
      </c>
      <c r="G183" s="457">
        <f t="shared" si="7"/>
        <v>797.25</v>
      </c>
    </row>
    <row r="184" spans="1:7">
      <c r="A184" s="313"/>
      <c r="B184" s="317" t="s">
        <v>2198</v>
      </c>
      <c r="C184" s="321" t="s">
        <v>1130</v>
      </c>
      <c r="D184" s="247">
        <v>2090.27</v>
      </c>
      <c r="E184" s="315" t="s">
        <v>1101</v>
      </c>
      <c r="F184" s="429">
        <f t="shared" si="10"/>
        <v>857.01</v>
      </c>
      <c r="G184" s="457">
        <f t="shared" si="7"/>
        <v>887</v>
      </c>
    </row>
    <row r="185" spans="1:7">
      <c r="A185" s="340">
        <v>19</v>
      </c>
      <c r="B185" s="314" t="s">
        <v>2199</v>
      </c>
      <c r="C185" s="321"/>
      <c r="D185" s="247"/>
      <c r="E185" s="316"/>
      <c r="F185" s="428"/>
      <c r="G185" s="457">
        <f t="shared" si="7"/>
        <v>0</v>
      </c>
    </row>
    <row r="186" spans="1:7">
      <c r="A186" s="313"/>
      <c r="B186" s="317" t="s">
        <v>2200</v>
      </c>
      <c r="C186" s="321" t="s">
        <v>2201</v>
      </c>
      <c r="D186" s="247">
        <v>25</v>
      </c>
      <c r="E186" s="315" t="s">
        <v>2110</v>
      </c>
      <c r="F186" s="429">
        <f>FLOOR(D186*10.76,0.01)</f>
        <v>269</v>
      </c>
      <c r="G186" s="457">
        <f t="shared" si="7"/>
        <v>278.41000000000003</v>
      </c>
    </row>
    <row r="187" spans="1:7">
      <c r="A187" s="313"/>
      <c r="B187" s="317" t="s">
        <v>2202</v>
      </c>
      <c r="C187" s="321" t="s">
        <v>2621</v>
      </c>
      <c r="D187" s="247">
        <v>24</v>
      </c>
      <c r="E187" s="315" t="s">
        <v>2110</v>
      </c>
      <c r="F187" s="429">
        <f>FLOOR(D187*10.76,0.01)</f>
        <v>258.24</v>
      </c>
      <c r="G187" s="457">
        <f t="shared" si="7"/>
        <v>267.27</v>
      </c>
    </row>
    <row r="188" spans="1:7" ht="36.75">
      <c r="A188" s="340"/>
      <c r="B188" s="347" t="s">
        <v>2306</v>
      </c>
      <c r="C188" s="321" t="s">
        <v>2621</v>
      </c>
      <c r="D188" s="247"/>
      <c r="E188" s="315" t="s">
        <v>2110</v>
      </c>
      <c r="F188" s="429">
        <f>FLOOR(D188*10.76,0.01)</f>
        <v>0</v>
      </c>
      <c r="G188" s="457">
        <f t="shared" si="7"/>
        <v>0</v>
      </c>
    </row>
    <row r="189" spans="1:7">
      <c r="A189" s="340">
        <v>20</v>
      </c>
      <c r="B189" s="314" t="s">
        <v>2307</v>
      </c>
      <c r="C189" s="348"/>
      <c r="D189" s="247"/>
      <c r="E189" s="322"/>
      <c r="F189" s="428"/>
      <c r="G189" s="457">
        <f t="shared" si="7"/>
        <v>0</v>
      </c>
    </row>
    <row r="190" spans="1:7" ht="37.5">
      <c r="A190" s="313"/>
      <c r="B190" s="317" t="s">
        <v>2308</v>
      </c>
      <c r="C190" s="321" t="s">
        <v>2338</v>
      </c>
      <c r="D190" s="247">
        <v>105</v>
      </c>
      <c r="E190" s="315" t="s">
        <v>2110</v>
      </c>
      <c r="F190" s="436">
        <f>D190</f>
        <v>105</v>
      </c>
      <c r="G190" s="457">
        <f t="shared" si="7"/>
        <v>108.67</v>
      </c>
    </row>
    <row r="191" spans="1:7">
      <c r="A191" s="313"/>
      <c r="B191" s="317" t="s">
        <v>2203</v>
      </c>
      <c r="C191" s="321" t="s">
        <v>2232</v>
      </c>
      <c r="D191" s="247">
        <v>110</v>
      </c>
      <c r="E191" s="315" t="s">
        <v>2110</v>
      </c>
      <c r="F191" s="436">
        <f>D191</f>
        <v>110</v>
      </c>
      <c r="G191" s="457">
        <f t="shared" si="7"/>
        <v>113.85000000000001</v>
      </c>
    </row>
    <row r="192" spans="1:7">
      <c r="A192" s="313"/>
      <c r="B192" s="317" t="s">
        <v>2309</v>
      </c>
      <c r="C192" s="321" t="s">
        <v>2232</v>
      </c>
      <c r="D192" s="247">
        <v>100</v>
      </c>
      <c r="E192" s="315" t="s">
        <v>2110</v>
      </c>
      <c r="F192" s="436">
        <f>D192</f>
        <v>100</v>
      </c>
      <c r="G192" s="457">
        <f t="shared" si="7"/>
        <v>103.5</v>
      </c>
    </row>
    <row r="193" spans="1:7">
      <c r="A193" s="313"/>
      <c r="B193" s="317" t="s">
        <v>2204</v>
      </c>
      <c r="C193" s="321" t="s">
        <v>2232</v>
      </c>
      <c r="D193" s="247">
        <v>150</v>
      </c>
      <c r="E193" s="315" t="s">
        <v>2110</v>
      </c>
      <c r="F193" s="436">
        <f>D193</f>
        <v>150</v>
      </c>
      <c r="G193" s="457">
        <f t="shared" si="7"/>
        <v>155.25</v>
      </c>
    </row>
    <row r="194" spans="1:7">
      <c r="A194" s="340">
        <v>21</v>
      </c>
      <c r="B194" s="314" t="s">
        <v>2205</v>
      </c>
      <c r="C194" s="321"/>
      <c r="D194" s="247"/>
      <c r="E194" s="322"/>
      <c r="F194" s="428"/>
      <c r="G194" s="457">
        <f t="shared" si="7"/>
        <v>0</v>
      </c>
    </row>
    <row r="195" spans="1:7">
      <c r="A195" s="313"/>
      <c r="B195" s="349" t="s">
        <v>2310</v>
      </c>
      <c r="C195" s="321" t="s">
        <v>2206</v>
      </c>
      <c r="D195" s="247">
        <v>90</v>
      </c>
      <c r="E195" s="321" t="s">
        <v>2206</v>
      </c>
      <c r="F195" s="436">
        <f>D195</f>
        <v>90</v>
      </c>
      <c r="G195" s="457">
        <f t="shared" si="7"/>
        <v>93.15</v>
      </c>
    </row>
    <row r="196" spans="1:7" ht="27">
      <c r="A196" s="313"/>
      <c r="B196" s="349" t="s">
        <v>2311</v>
      </c>
      <c r="C196" s="321" t="s">
        <v>2206</v>
      </c>
      <c r="D196" s="247"/>
      <c r="E196" s="321" t="s">
        <v>2206</v>
      </c>
      <c r="F196" s="436">
        <f>D196</f>
        <v>0</v>
      </c>
      <c r="G196" s="457">
        <f t="shared" si="7"/>
        <v>0</v>
      </c>
    </row>
    <row r="197" spans="1:7" ht="27">
      <c r="A197" s="313"/>
      <c r="B197" s="349" t="s">
        <v>2312</v>
      </c>
      <c r="C197" s="350" t="s">
        <v>2207</v>
      </c>
      <c r="D197" s="247"/>
      <c r="E197" s="350" t="s">
        <v>2207</v>
      </c>
      <c r="F197" s="436">
        <f>D197</f>
        <v>0</v>
      </c>
      <c r="G197" s="457">
        <f t="shared" si="7"/>
        <v>0</v>
      </c>
    </row>
    <row r="198" spans="1:7">
      <c r="A198" s="313"/>
      <c r="B198" s="284" t="s">
        <v>2313</v>
      </c>
      <c r="C198" s="321" t="s">
        <v>2201</v>
      </c>
      <c r="D198" s="247">
        <v>325</v>
      </c>
      <c r="E198" s="315" t="s">
        <v>2110</v>
      </c>
      <c r="F198" s="429">
        <f>FLOOR(D198*10.76,0.01)</f>
        <v>3497</v>
      </c>
      <c r="G198" s="457">
        <f t="shared" si="7"/>
        <v>3619.39</v>
      </c>
    </row>
    <row r="199" spans="1:7" ht="32.25">
      <c r="A199" s="313"/>
      <c r="B199" s="284" t="s">
        <v>2314</v>
      </c>
      <c r="C199" s="321" t="s">
        <v>3170</v>
      </c>
      <c r="D199" s="247"/>
      <c r="E199" s="315" t="s">
        <v>2110</v>
      </c>
      <c r="F199" s="436">
        <f>D199</f>
        <v>0</v>
      </c>
      <c r="G199" s="457">
        <f t="shared" si="7"/>
        <v>0</v>
      </c>
    </row>
    <row r="200" spans="1:7" ht="32.25">
      <c r="A200" s="313"/>
      <c r="B200" s="284" t="s">
        <v>2315</v>
      </c>
      <c r="C200" s="321" t="s">
        <v>2338</v>
      </c>
      <c r="D200" s="247"/>
      <c r="E200" s="315" t="s">
        <v>2110</v>
      </c>
      <c r="F200" s="436">
        <f>D200</f>
        <v>0</v>
      </c>
      <c r="G200" s="457">
        <f t="shared" si="7"/>
        <v>0</v>
      </c>
    </row>
    <row r="201" spans="1:7">
      <c r="A201" s="313"/>
      <c r="B201" s="284" t="s">
        <v>2316</v>
      </c>
      <c r="C201" s="315" t="s">
        <v>2201</v>
      </c>
      <c r="D201" s="247">
        <v>200</v>
      </c>
      <c r="E201" s="315" t="s">
        <v>2110</v>
      </c>
      <c r="F201" s="429">
        <f>FLOOR(D201*10.76,0.01)</f>
        <v>2152</v>
      </c>
      <c r="G201" s="457">
        <f t="shared" si="7"/>
        <v>2227.3200000000002</v>
      </c>
    </row>
    <row r="202" spans="1:7" ht="32.25">
      <c r="A202" s="313"/>
      <c r="B202" s="284" t="s">
        <v>2317</v>
      </c>
      <c r="C202" s="315" t="s">
        <v>2621</v>
      </c>
      <c r="D202" s="247">
        <v>250</v>
      </c>
      <c r="E202" s="315" t="s">
        <v>2110</v>
      </c>
      <c r="F202" s="429">
        <f>FLOOR(D202*10.76,0.01)</f>
        <v>2690</v>
      </c>
      <c r="G202" s="457">
        <f t="shared" si="7"/>
        <v>2784.15</v>
      </c>
    </row>
    <row r="203" spans="1:7" ht="32.25">
      <c r="A203" s="313"/>
      <c r="B203" s="284" t="s">
        <v>2117</v>
      </c>
      <c r="C203" s="315" t="s">
        <v>2621</v>
      </c>
      <c r="D203" s="247">
        <v>310</v>
      </c>
      <c r="E203" s="315" t="s">
        <v>2110</v>
      </c>
      <c r="F203" s="429">
        <f>FLOOR(D203*10.76,0.01)</f>
        <v>3335.6</v>
      </c>
      <c r="G203" s="457">
        <f t="shared" si="7"/>
        <v>3452.34</v>
      </c>
    </row>
    <row r="204" spans="1:7">
      <c r="A204" s="313"/>
      <c r="B204" s="351" t="s">
        <v>2118</v>
      </c>
      <c r="C204" s="315" t="s">
        <v>2621</v>
      </c>
      <c r="D204" s="247"/>
      <c r="E204" s="352"/>
      <c r="F204" s="437"/>
      <c r="G204" s="457">
        <f t="shared" si="7"/>
        <v>0</v>
      </c>
    </row>
    <row r="205" spans="1:7">
      <c r="A205" s="313"/>
      <c r="B205" s="284" t="s">
        <v>2113</v>
      </c>
      <c r="C205" s="315" t="s">
        <v>2208</v>
      </c>
      <c r="D205" s="247"/>
      <c r="E205" s="352"/>
      <c r="F205" s="437"/>
      <c r="G205" s="457">
        <f t="shared" ref="G205:G268" si="11">FLOOR(F205*1.035,0.01)</f>
        <v>0</v>
      </c>
    </row>
    <row r="206" spans="1:7" ht="32.25">
      <c r="A206" s="313"/>
      <c r="B206" s="284" t="s">
        <v>2114</v>
      </c>
      <c r="C206" s="315" t="s">
        <v>2621</v>
      </c>
      <c r="D206" s="247"/>
      <c r="E206" s="352"/>
      <c r="F206" s="437"/>
      <c r="G206" s="457">
        <f t="shared" si="11"/>
        <v>0</v>
      </c>
    </row>
    <row r="207" spans="1:7" ht="32.25">
      <c r="A207" s="649" t="s">
        <v>821</v>
      </c>
      <c r="B207" s="284" t="s">
        <v>2115</v>
      </c>
      <c r="C207" s="321" t="s">
        <v>2206</v>
      </c>
      <c r="D207" s="247">
        <v>400</v>
      </c>
      <c r="E207" s="321" t="s">
        <v>2206</v>
      </c>
      <c r="F207" s="436">
        <f>D207</f>
        <v>400</v>
      </c>
      <c r="G207" s="457">
        <f t="shared" si="11"/>
        <v>414</v>
      </c>
    </row>
    <row r="208" spans="1:7" ht="63.75">
      <c r="A208" s="313"/>
      <c r="B208" s="334" t="s">
        <v>2116</v>
      </c>
      <c r="C208" s="321" t="s">
        <v>2209</v>
      </c>
      <c r="D208" s="247"/>
      <c r="E208" s="315" t="s">
        <v>1101</v>
      </c>
      <c r="F208" s="429">
        <f>FLOOR(D208*3.28,0.01)</f>
        <v>0</v>
      </c>
      <c r="G208" s="457">
        <f t="shared" si="11"/>
        <v>0</v>
      </c>
    </row>
    <row r="209" spans="1:7" ht="66.75" customHeight="1">
      <c r="A209" s="340"/>
      <c r="B209" s="651" t="s">
        <v>1718</v>
      </c>
      <c r="C209" s="321" t="s">
        <v>3347</v>
      </c>
      <c r="D209" s="247"/>
      <c r="E209" s="322"/>
      <c r="F209" s="428"/>
      <c r="G209" s="457"/>
    </row>
    <row r="210" spans="1:7" ht="32.25">
      <c r="A210" s="313"/>
      <c r="B210" s="284" t="s">
        <v>1652</v>
      </c>
      <c r="C210" s="321" t="s">
        <v>803</v>
      </c>
      <c r="D210" s="247"/>
      <c r="E210" s="322"/>
      <c r="F210" s="428"/>
      <c r="G210" s="457"/>
    </row>
    <row r="211" spans="1:7">
      <c r="A211" s="340"/>
      <c r="B211" s="284" t="s">
        <v>1653</v>
      </c>
      <c r="C211" s="321" t="s">
        <v>3096</v>
      </c>
      <c r="D211" s="247"/>
      <c r="E211" s="322"/>
      <c r="F211" s="428"/>
      <c r="G211" s="457"/>
    </row>
    <row r="212" spans="1:7">
      <c r="A212" s="340">
        <v>22</v>
      </c>
      <c r="B212" s="314" t="s">
        <v>1654</v>
      </c>
      <c r="C212" s="327"/>
      <c r="D212" s="247"/>
      <c r="E212" s="316"/>
      <c r="F212" s="427"/>
      <c r="G212" s="457"/>
    </row>
    <row r="213" spans="1:7">
      <c r="A213" s="340"/>
      <c r="B213" s="326" t="s">
        <v>1655</v>
      </c>
      <c r="C213" s="332" t="s">
        <v>1656</v>
      </c>
      <c r="D213" s="247">
        <v>2700</v>
      </c>
      <c r="E213" s="321" t="s">
        <v>3040</v>
      </c>
      <c r="F213" s="429">
        <f t="shared" ref="F213:F220" si="12">FLOOR(D213*35.31,0.01)</f>
        <v>95337</v>
      </c>
      <c r="G213" s="457">
        <f t="shared" si="11"/>
        <v>98673.790000000008</v>
      </c>
    </row>
    <row r="214" spans="1:7">
      <c r="A214" s="340"/>
      <c r="B214" s="326" t="s">
        <v>1657</v>
      </c>
      <c r="C214" s="321" t="s">
        <v>1136</v>
      </c>
      <c r="D214" s="247">
        <v>2950</v>
      </c>
      <c r="E214" s="321" t="s">
        <v>3040</v>
      </c>
      <c r="F214" s="429">
        <f t="shared" si="12"/>
        <v>104164.5</v>
      </c>
      <c r="G214" s="457">
        <f t="shared" si="11"/>
        <v>107810.25</v>
      </c>
    </row>
    <row r="215" spans="1:7">
      <c r="A215" s="340"/>
      <c r="B215" s="326" t="s">
        <v>1658</v>
      </c>
      <c r="C215" s="321" t="s">
        <v>1136</v>
      </c>
      <c r="D215" s="247">
        <v>3100</v>
      </c>
      <c r="E215" s="321" t="s">
        <v>3040</v>
      </c>
      <c r="F215" s="429">
        <f t="shared" si="12"/>
        <v>109461</v>
      </c>
      <c r="G215" s="457">
        <f t="shared" si="11"/>
        <v>113292.13</v>
      </c>
    </row>
    <row r="216" spans="1:7">
      <c r="A216" s="340"/>
      <c r="B216" s="326" t="s">
        <v>1659</v>
      </c>
      <c r="C216" s="321" t="s">
        <v>1130</v>
      </c>
      <c r="D216" s="247">
        <v>1400</v>
      </c>
      <c r="E216" s="321" t="s">
        <v>3040</v>
      </c>
      <c r="F216" s="429">
        <f t="shared" si="12"/>
        <v>49434</v>
      </c>
      <c r="G216" s="457">
        <f t="shared" si="11"/>
        <v>51164.19</v>
      </c>
    </row>
    <row r="217" spans="1:7">
      <c r="A217" s="340"/>
      <c r="B217" s="326" t="s">
        <v>1660</v>
      </c>
      <c r="C217" s="321" t="s">
        <v>1136</v>
      </c>
      <c r="D217" s="247">
        <v>1300</v>
      </c>
      <c r="E217" s="321" t="s">
        <v>3040</v>
      </c>
      <c r="F217" s="429">
        <f t="shared" si="12"/>
        <v>45903</v>
      </c>
      <c r="G217" s="457">
        <f t="shared" si="11"/>
        <v>47509.599999999999</v>
      </c>
    </row>
    <row r="218" spans="1:7">
      <c r="A218" s="340"/>
      <c r="B218" s="326" t="s">
        <v>1661</v>
      </c>
      <c r="C218" s="321" t="s">
        <v>1136</v>
      </c>
      <c r="D218" s="247">
        <v>700</v>
      </c>
      <c r="E218" s="321" t="s">
        <v>3040</v>
      </c>
      <c r="F218" s="429">
        <f t="shared" si="12"/>
        <v>24717</v>
      </c>
      <c r="G218" s="457">
        <f t="shared" si="11"/>
        <v>25582.09</v>
      </c>
    </row>
    <row r="219" spans="1:7">
      <c r="A219" s="340"/>
      <c r="B219" s="326" t="s">
        <v>3512</v>
      </c>
      <c r="C219" s="321" t="s">
        <v>1136</v>
      </c>
      <c r="D219" s="247">
        <v>1400</v>
      </c>
      <c r="E219" s="321" t="s">
        <v>3040</v>
      </c>
      <c r="F219" s="429">
        <f t="shared" si="12"/>
        <v>49434</v>
      </c>
      <c r="G219" s="457">
        <f t="shared" si="11"/>
        <v>51164.19</v>
      </c>
    </row>
    <row r="220" spans="1:7">
      <c r="A220" s="650" t="s">
        <v>821</v>
      </c>
      <c r="B220" s="326" t="s">
        <v>3513</v>
      </c>
      <c r="C220" s="321" t="s">
        <v>1136</v>
      </c>
      <c r="D220" s="247">
        <v>390</v>
      </c>
      <c r="E220" s="321" t="s">
        <v>3040</v>
      </c>
      <c r="F220" s="429">
        <f t="shared" si="12"/>
        <v>13770.9</v>
      </c>
      <c r="G220" s="457">
        <f t="shared" si="11"/>
        <v>14252.880000000001</v>
      </c>
    </row>
    <row r="221" spans="1:7">
      <c r="A221" s="340"/>
      <c r="B221" s="326" t="s">
        <v>3514</v>
      </c>
      <c r="C221" s="321" t="s">
        <v>2970</v>
      </c>
      <c r="D221" s="247">
        <v>13</v>
      </c>
      <c r="E221" s="321" t="s">
        <v>2970</v>
      </c>
      <c r="F221" s="426">
        <f>D221</f>
        <v>13</v>
      </c>
      <c r="G221" s="457">
        <f t="shared" si="11"/>
        <v>13.450000000000001</v>
      </c>
    </row>
    <row r="222" spans="1:7">
      <c r="A222" s="340">
        <v>23</v>
      </c>
      <c r="B222" s="314" t="s">
        <v>3515</v>
      </c>
      <c r="C222" s="314"/>
      <c r="D222" s="247"/>
      <c r="E222" s="316"/>
      <c r="F222" s="427"/>
      <c r="G222" s="457">
        <f t="shared" si="11"/>
        <v>0</v>
      </c>
    </row>
    <row r="223" spans="1:7">
      <c r="A223" s="340"/>
      <c r="B223" s="313" t="s">
        <v>3516</v>
      </c>
      <c r="C223" s="313"/>
      <c r="D223" s="247"/>
      <c r="E223" s="316"/>
      <c r="F223" s="427"/>
      <c r="G223" s="457">
        <f t="shared" si="11"/>
        <v>0</v>
      </c>
    </row>
    <row r="224" spans="1:7">
      <c r="A224" s="340"/>
      <c r="B224" s="326" t="s">
        <v>3517</v>
      </c>
      <c r="C224" s="321" t="s">
        <v>3347</v>
      </c>
      <c r="D224" s="247">
        <v>13.75</v>
      </c>
      <c r="E224" s="315" t="s">
        <v>2110</v>
      </c>
      <c r="F224" s="429">
        <f t="shared" ref="F224:F229" si="13">FLOOR(D224*10.76,0.01)</f>
        <v>147.95000000000002</v>
      </c>
      <c r="G224" s="457">
        <f t="shared" si="11"/>
        <v>153.12</v>
      </c>
    </row>
    <row r="225" spans="1:7">
      <c r="A225" s="340"/>
      <c r="B225" s="326" t="s">
        <v>3518</v>
      </c>
      <c r="C225" s="321" t="s">
        <v>1136</v>
      </c>
      <c r="D225" s="247">
        <v>17</v>
      </c>
      <c r="E225" s="315" t="s">
        <v>2110</v>
      </c>
      <c r="F225" s="429">
        <f t="shared" si="13"/>
        <v>182.92000000000002</v>
      </c>
      <c r="G225" s="457">
        <f t="shared" si="11"/>
        <v>189.32</v>
      </c>
    </row>
    <row r="226" spans="1:7">
      <c r="A226" s="340"/>
      <c r="B226" s="326" t="s">
        <v>3519</v>
      </c>
      <c r="C226" s="321" t="s">
        <v>1136</v>
      </c>
      <c r="D226" s="247">
        <v>28</v>
      </c>
      <c r="E226" s="315" t="s">
        <v>2110</v>
      </c>
      <c r="F226" s="429">
        <f t="shared" si="13"/>
        <v>301.28000000000003</v>
      </c>
      <c r="G226" s="457">
        <f t="shared" si="11"/>
        <v>311.82</v>
      </c>
    </row>
    <row r="227" spans="1:7">
      <c r="A227" s="340"/>
      <c r="B227" s="326" t="s">
        <v>3184</v>
      </c>
      <c r="C227" s="321" t="s">
        <v>1136</v>
      </c>
      <c r="D227" s="247">
        <v>30</v>
      </c>
      <c r="E227" s="315" t="s">
        <v>2110</v>
      </c>
      <c r="F227" s="429">
        <f t="shared" si="13"/>
        <v>322.8</v>
      </c>
      <c r="G227" s="457">
        <f t="shared" si="11"/>
        <v>334.09000000000003</v>
      </c>
    </row>
    <row r="228" spans="1:7">
      <c r="A228" s="340"/>
      <c r="B228" s="326" t="s">
        <v>3185</v>
      </c>
      <c r="C228" s="321" t="s">
        <v>1136</v>
      </c>
      <c r="D228" s="247">
        <v>42</v>
      </c>
      <c r="E228" s="315" t="s">
        <v>2110</v>
      </c>
      <c r="F228" s="429">
        <f t="shared" si="13"/>
        <v>451.92</v>
      </c>
      <c r="G228" s="457">
        <f t="shared" si="11"/>
        <v>467.73</v>
      </c>
    </row>
    <row r="229" spans="1:7">
      <c r="A229" s="650" t="s">
        <v>821</v>
      </c>
      <c r="B229" s="326" t="s">
        <v>3186</v>
      </c>
      <c r="C229" s="321" t="s">
        <v>1136</v>
      </c>
      <c r="D229" s="247">
        <v>66</v>
      </c>
      <c r="E229" s="315" t="s">
        <v>2110</v>
      </c>
      <c r="F229" s="429">
        <f t="shared" si="13"/>
        <v>710.16</v>
      </c>
      <c r="G229" s="457">
        <f t="shared" si="11"/>
        <v>735.01</v>
      </c>
    </row>
    <row r="230" spans="1:7">
      <c r="A230" s="313"/>
      <c r="B230" s="313" t="s">
        <v>3187</v>
      </c>
      <c r="C230" s="313"/>
      <c r="D230" s="247"/>
      <c r="E230" s="324"/>
      <c r="F230" s="430"/>
      <c r="G230" s="457">
        <f t="shared" si="11"/>
        <v>0</v>
      </c>
    </row>
    <row r="231" spans="1:7">
      <c r="A231" s="313"/>
      <c r="B231" s="317" t="s">
        <v>3188</v>
      </c>
      <c r="C231" s="321" t="s">
        <v>3347</v>
      </c>
      <c r="D231" s="247">
        <v>30</v>
      </c>
      <c r="E231" s="315" t="s">
        <v>2110</v>
      </c>
      <c r="F231" s="429">
        <f>FLOOR(D231*10.76,0.01)</f>
        <v>322.8</v>
      </c>
      <c r="G231" s="457">
        <f t="shared" si="11"/>
        <v>334.09000000000003</v>
      </c>
    </row>
    <row r="232" spans="1:7">
      <c r="A232" s="313"/>
      <c r="B232" s="317" t="s">
        <v>3189</v>
      </c>
      <c r="C232" s="321" t="s">
        <v>3347</v>
      </c>
      <c r="D232" s="247">
        <v>38.5</v>
      </c>
      <c r="E232" s="315" t="s">
        <v>2110</v>
      </c>
      <c r="F232" s="429">
        <f>FLOOR(D232*10.76,0.01)</f>
        <v>414.26</v>
      </c>
      <c r="G232" s="457">
        <f t="shared" si="11"/>
        <v>428.75</v>
      </c>
    </row>
    <row r="233" spans="1:7">
      <c r="A233" s="649" t="s">
        <v>821</v>
      </c>
      <c r="B233" s="317" t="s">
        <v>3190</v>
      </c>
      <c r="C233" s="321" t="s">
        <v>1136</v>
      </c>
      <c r="D233" s="247">
        <v>46.5</v>
      </c>
      <c r="E233" s="315" t="s">
        <v>2110</v>
      </c>
      <c r="F233" s="429">
        <f>FLOOR(D233*10.76,0.01)</f>
        <v>500.34000000000003</v>
      </c>
      <c r="G233" s="457">
        <f t="shared" si="11"/>
        <v>517.85</v>
      </c>
    </row>
    <row r="234" spans="1:7">
      <c r="A234" s="313"/>
      <c r="B234" s="317" t="s">
        <v>3191</v>
      </c>
      <c r="C234" s="321" t="s">
        <v>1136</v>
      </c>
      <c r="D234" s="247">
        <v>58</v>
      </c>
      <c r="E234" s="315" t="s">
        <v>2110</v>
      </c>
      <c r="F234" s="429">
        <f>FLOOR(D234*10.76,0.01)</f>
        <v>624.08000000000004</v>
      </c>
      <c r="G234" s="457">
        <f t="shared" si="11"/>
        <v>645.91999999999996</v>
      </c>
    </row>
    <row r="235" spans="1:7">
      <c r="A235" s="313"/>
      <c r="B235" s="317" t="s">
        <v>3192</v>
      </c>
      <c r="C235" s="321" t="s">
        <v>1130</v>
      </c>
      <c r="D235" s="247">
        <v>75</v>
      </c>
      <c r="E235" s="315" t="s">
        <v>2110</v>
      </c>
      <c r="F235" s="429">
        <f>FLOOR(D235*10.76,0.01)</f>
        <v>807</v>
      </c>
      <c r="G235" s="457">
        <f t="shared" si="11"/>
        <v>835.24</v>
      </c>
    </row>
    <row r="236" spans="1:7">
      <c r="A236" s="313"/>
      <c r="B236" s="313" t="s">
        <v>3193</v>
      </c>
      <c r="C236" s="313"/>
      <c r="D236" s="247"/>
      <c r="E236" s="324"/>
      <c r="F236" s="430"/>
      <c r="G236" s="457">
        <f t="shared" si="11"/>
        <v>0</v>
      </c>
    </row>
    <row r="237" spans="1:7">
      <c r="A237" s="313"/>
      <c r="B237" s="353" t="s">
        <v>3194</v>
      </c>
      <c r="C237" s="313"/>
      <c r="D237" s="247"/>
      <c r="E237" s="324"/>
      <c r="F237" s="430"/>
      <c r="G237" s="457">
        <f t="shared" si="11"/>
        <v>0</v>
      </c>
    </row>
    <row r="238" spans="1:7">
      <c r="A238" s="313"/>
      <c r="B238" s="317" t="s">
        <v>1719</v>
      </c>
      <c r="C238" s="321" t="s">
        <v>3347</v>
      </c>
      <c r="D238" s="247"/>
      <c r="E238" s="315" t="s">
        <v>2110</v>
      </c>
      <c r="F238" s="429">
        <f>FLOOR(D238*10.76,0.01)</f>
        <v>0</v>
      </c>
      <c r="G238" s="457">
        <f t="shared" si="11"/>
        <v>0</v>
      </c>
    </row>
    <row r="239" spans="1:7">
      <c r="A239" s="313"/>
      <c r="B239" s="317" t="s">
        <v>3195</v>
      </c>
      <c r="C239" s="321" t="s">
        <v>1130</v>
      </c>
      <c r="D239" s="247">
        <v>39.22</v>
      </c>
      <c r="E239" s="315" t="s">
        <v>2110</v>
      </c>
      <c r="F239" s="429">
        <f>FLOOR(D239*10.76,0.01)</f>
        <v>422</v>
      </c>
      <c r="G239" s="457">
        <f t="shared" si="11"/>
        <v>436.77</v>
      </c>
    </row>
    <row r="240" spans="1:7">
      <c r="A240" s="313"/>
      <c r="B240" s="317" t="s">
        <v>3196</v>
      </c>
      <c r="C240" s="321" t="s">
        <v>1130</v>
      </c>
      <c r="D240" s="247"/>
      <c r="E240" s="315" t="s">
        <v>2110</v>
      </c>
      <c r="F240" s="429">
        <f>FLOOR(D240*10.76,0.01)</f>
        <v>0</v>
      </c>
      <c r="G240" s="457">
        <f t="shared" si="11"/>
        <v>0</v>
      </c>
    </row>
    <row r="241" spans="1:7">
      <c r="A241" s="313"/>
      <c r="B241" s="326" t="s">
        <v>3184</v>
      </c>
      <c r="C241" s="321" t="s">
        <v>1130</v>
      </c>
      <c r="D241" s="247"/>
      <c r="E241" s="316"/>
      <c r="F241" s="429"/>
      <c r="G241" s="457">
        <f t="shared" si="11"/>
        <v>0</v>
      </c>
    </row>
    <row r="242" spans="1:7">
      <c r="A242" s="313"/>
      <c r="B242" s="326" t="s">
        <v>3185</v>
      </c>
      <c r="C242" s="321" t="s">
        <v>1130</v>
      </c>
      <c r="D242" s="247"/>
      <c r="E242" s="316"/>
      <c r="F242" s="429"/>
      <c r="G242" s="457">
        <f t="shared" si="11"/>
        <v>0</v>
      </c>
    </row>
    <row r="243" spans="1:7">
      <c r="A243" s="313"/>
      <c r="B243" s="326" t="s">
        <v>3186</v>
      </c>
      <c r="C243" s="321" t="s">
        <v>1130</v>
      </c>
      <c r="D243" s="247"/>
      <c r="E243" s="316"/>
      <c r="F243" s="429"/>
      <c r="G243" s="457">
        <f t="shared" si="11"/>
        <v>0</v>
      </c>
    </row>
    <row r="244" spans="1:7">
      <c r="A244" s="313"/>
      <c r="B244" s="353" t="s">
        <v>3197</v>
      </c>
      <c r="C244" s="313"/>
      <c r="D244" s="247"/>
      <c r="E244" s="316"/>
      <c r="F244" s="429"/>
      <c r="G244" s="457">
        <f t="shared" si="11"/>
        <v>0</v>
      </c>
    </row>
    <row r="245" spans="1:7">
      <c r="A245" s="313"/>
      <c r="B245" s="317" t="s">
        <v>3198</v>
      </c>
      <c r="C245" s="321" t="s">
        <v>3347</v>
      </c>
      <c r="D245" s="247"/>
      <c r="E245" s="316"/>
      <c r="F245" s="429"/>
      <c r="G245" s="457">
        <f t="shared" si="11"/>
        <v>0</v>
      </c>
    </row>
    <row r="246" spans="1:7">
      <c r="A246" s="313"/>
      <c r="B246" s="317" t="s">
        <v>3199</v>
      </c>
      <c r="C246" s="321" t="s">
        <v>1130</v>
      </c>
      <c r="D246" s="247"/>
      <c r="E246" s="316"/>
      <c r="F246" s="429"/>
      <c r="G246" s="457">
        <f t="shared" si="11"/>
        <v>0</v>
      </c>
    </row>
    <row r="247" spans="1:7">
      <c r="A247" s="313"/>
      <c r="B247" s="317" t="s">
        <v>3200</v>
      </c>
      <c r="C247" s="321" t="s">
        <v>1130</v>
      </c>
      <c r="D247" s="316"/>
      <c r="E247" s="316"/>
      <c r="F247" s="429"/>
      <c r="G247" s="457">
        <f t="shared" si="11"/>
        <v>0</v>
      </c>
    </row>
    <row r="248" spans="1:7">
      <c r="A248" s="313"/>
      <c r="B248" s="326" t="s">
        <v>3201</v>
      </c>
      <c r="C248" s="321" t="s">
        <v>1130</v>
      </c>
      <c r="D248" s="316"/>
      <c r="E248" s="316"/>
      <c r="F248" s="429"/>
      <c r="G248" s="457">
        <f t="shared" si="11"/>
        <v>0</v>
      </c>
    </row>
    <row r="249" spans="1:7">
      <c r="A249" s="313"/>
      <c r="B249" s="326" t="s">
        <v>3202</v>
      </c>
      <c r="C249" s="321" t="s">
        <v>1130</v>
      </c>
      <c r="D249" s="316"/>
      <c r="E249" s="316"/>
      <c r="F249" s="429"/>
      <c r="G249" s="457">
        <f t="shared" si="11"/>
        <v>0</v>
      </c>
    </row>
    <row r="250" spans="1:7">
      <c r="A250" s="340">
        <v>24</v>
      </c>
      <c r="B250" s="313" t="s">
        <v>3203</v>
      </c>
      <c r="C250" s="313"/>
      <c r="D250" s="324"/>
      <c r="E250" s="324"/>
      <c r="F250" s="430"/>
      <c r="G250" s="457">
        <f t="shared" si="11"/>
        <v>0</v>
      </c>
    </row>
    <row r="251" spans="1:7">
      <c r="A251" s="340"/>
      <c r="B251" s="353" t="s">
        <v>3204</v>
      </c>
      <c r="C251" s="313"/>
      <c r="D251" s="324"/>
      <c r="E251" s="324"/>
      <c r="F251" s="430"/>
      <c r="G251" s="457">
        <f t="shared" si="11"/>
        <v>0</v>
      </c>
    </row>
    <row r="252" spans="1:7">
      <c r="A252" s="340"/>
      <c r="B252" s="317" t="s">
        <v>3205</v>
      </c>
      <c r="C252" s="321" t="s">
        <v>3347</v>
      </c>
      <c r="D252" s="247">
        <v>32.42</v>
      </c>
      <c r="E252" s="315" t="s">
        <v>2110</v>
      </c>
      <c r="F252" s="429">
        <f>FLOOR(D252*10.76,0.01)</f>
        <v>348.83</v>
      </c>
      <c r="G252" s="457">
        <f t="shared" si="11"/>
        <v>361.03000000000003</v>
      </c>
    </row>
    <row r="253" spans="1:7">
      <c r="A253" s="340"/>
      <c r="B253" s="317" t="s">
        <v>3206</v>
      </c>
      <c r="C253" s="321" t="s">
        <v>1130</v>
      </c>
      <c r="D253" s="247">
        <v>36.32</v>
      </c>
      <c r="E253" s="315" t="s">
        <v>2110</v>
      </c>
      <c r="F253" s="429">
        <f>FLOOR(D253*10.76,0.01)</f>
        <v>390.8</v>
      </c>
      <c r="G253" s="457">
        <f t="shared" si="11"/>
        <v>404.47</v>
      </c>
    </row>
    <row r="254" spans="1:7">
      <c r="A254" s="340"/>
      <c r="B254" s="317" t="s">
        <v>3207</v>
      </c>
      <c r="C254" s="321" t="s">
        <v>1130</v>
      </c>
      <c r="D254" s="247">
        <v>47.1</v>
      </c>
      <c r="E254" s="315" t="s">
        <v>2110</v>
      </c>
      <c r="F254" s="429">
        <f>FLOOR(D254*10.76,0.01)</f>
        <v>506.79</v>
      </c>
      <c r="G254" s="457">
        <f t="shared" si="11"/>
        <v>524.52</v>
      </c>
    </row>
    <row r="255" spans="1:7">
      <c r="A255" s="340"/>
      <c r="B255" s="326" t="s">
        <v>3208</v>
      </c>
      <c r="C255" s="321" t="s">
        <v>1130</v>
      </c>
      <c r="D255" s="247">
        <v>62.89</v>
      </c>
      <c r="E255" s="315" t="s">
        <v>2110</v>
      </c>
      <c r="F255" s="429">
        <f>FLOOR(D255*10.76,0.01)</f>
        <v>676.69</v>
      </c>
      <c r="G255" s="457">
        <f t="shared" si="11"/>
        <v>700.37</v>
      </c>
    </row>
    <row r="256" spans="1:7" ht="32.25">
      <c r="A256" s="313"/>
      <c r="B256" s="353" t="s">
        <v>1946</v>
      </c>
      <c r="C256" s="313"/>
      <c r="D256" s="247"/>
      <c r="E256" s="324"/>
      <c r="F256" s="430"/>
      <c r="G256" s="457">
        <f t="shared" si="11"/>
        <v>0</v>
      </c>
    </row>
    <row r="257" spans="1:7">
      <c r="A257" s="313"/>
      <c r="B257" s="317" t="s">
        <v>3205</v>
      </c>
      <c r="C257" s="321" t="s">
        <v>3347</v>
      </c>
      <c r="D257" s="247">
        <v>65.03</v>
      </c>
      <c r="E257" s="315" t="s">
        <v>2110</v>
      </c>
      <c r="F257" s="429">
        <f>FLOOR(D257*10.76,0.01)</f>
        <v>699.72</v>
      </c>
      <c r="G257" s="457">
        <f t="shared" si="11"/>
        <v>724.21</v>
      </c>
    </row>
    <row r="258" spans="1:7">
      <c r="A258" s="313"/>
      <c r="B258" s="317" t="s">
        <v>3206</v>
      </c>
      <c r="C258" s="321" t="s">
        <v>1130</v>
      </c>
      <c r="D258" s="247">
        <v>73.3</v>
      </c>
      <c r="E258" s="315" t="s">
        <v>2110</v>
      </c>
      <c r="F258" s="429">
        <f>FLOOR(D258*10.76,0.01)</f>
        <v>788.7</v>
      </c>
      <c r="G258" s="457">
        <f t="shared" si="11"/>
        <v>816.30000000000007</v>
      </c>
    </row>
    <row r="259" spans="1:7">
      <c r="A259" s="313"/>
      <c r="B259" s="317" t="s">
        <v>3207</v>
      </c>
      <c r="C259" s="321" t="s">
        <v>1130</v>
      </c>
      <c r="D259" s="247">
        <v>86.49</v>
      </c>
      <c r="E259" s="315" t="s">
        <v>2110</v>
      </c>
      <c r="F259" s="429">
        <f>FLOOR(D259*10.76,0.01)</f>
        <v>930.63</v>
      </c>
      <c r="G259" s="457">
        <f t="shared" si="11"/>
        <v>963.2</v>
      </c>
    </row>
    <row r="260" spans="1:7">
      <c r="A260" s="313"/>
      <c r="B260" s="326" t="s">
        <v>3208</v>
      </c>
      <c r="C260" s="321" t="s">
        <v>1130</v>
      </c>
      <c r="D260" s="247">
        <v>112.23</v>
      </c>
      <c r="E260" s="315" t="s">
        <v>2110</v>
      </c>
      <c r="F260" s="429">
        <f>FLOOR(D260*10.76,0.01)</f>
        <v>1207.5899999999999</v>
      </c>
      <c r="G260" s="457">
        <f t="shared" si="11"/>
        <v>1249.8500000000001</v>
      </c>
    </row>
    <row r="261" spans="1:7" ht="32.25">
      <c r="A261" s="313"/>
      <c r="B261" s="353" t="s">
        <v>1947</v>
      </c>
      <c r="C261" s="313"/>
      <c r="D261" s="247"/>
      <c r="E261" s="316"/>
      <c r="F261" s="429"/>
      <c r="G261" s="457">
        <f t="shared" si="11"/>
        <v>0</v>
      </c>
    </row>
    <row r="262" spans="1:7">
      <c r="A262" s="313"/>
      <c r="B262" s="317" t="s">
        <v>3205</v>
      </c>
      <c r="C262" s="321" t="s">
        <v>3347</v>
      </c>
      <c r="D262" s="247">
        <v>73.3</v>
      </c>
      <c r="E262" s="315" t="s">
        <v>2110</v>
      </c>
      <c r="F262" s="429">
        <f>FLOOR(D262*10.76,0.01)</f>
        <v>788.7</v>
      </c>
      <c r="G262" s="457">
        <f t="shared" si="11"/>
        <v>816.30000000000007</v>
      </c>
    </row>
    <row r="263" spans="1:7">
      <c r="A263" s="313"/>
      <c r="B263" s="317" t="s">
        <v>3206</v>
      </c>
      <c r="C263" s="321" t="s">
        <v>1130</v>
      </c>
      <c r="D263" s="247">
        <v>83.89</v>
      </c>
      <c r="E263" s="315" t="s">
        <v>2110</v>
      </c>
      <c r="F263" s="429">
        <f>FLOOR(D263*10.76,0.01)</f>
        <v>902.65</v>
      </c>
      <c r="G263" s="457">
        <f t="shared" si="11"/>
        <v>934.24</v>
      </c>
    </row>
    <row r="264" spans="1:7">
      <c r="A264" s="313"/>
      <c r="B264" s="317" t="s">
        <v>3207</v>
      </c>
      <c r="C264" s="321" t="s">
        <v>1130</v>
      </c>
      <c r="D264" s="247">
        <v>96.99</v>
      </c>
      <c r="E264" s="315" t="s">
        <v>2110</v>
      </c>
      <c r="F264" s="429">
        <f>FLOOR(D264*10.76,0.01)</f>
        <v>1043.6100000000001</v>
      </c>
      <c r="G264" s="457">
        <f t="shared" si="11"/>
        <v>1080.1300000000001</v>
      </c>
    </row>
    <row r="265" spans="1:7">
      <c r="A265" s="313"/>
      <c r="B265" s="326" t="s">
        <v>3208</v>
      </c>
      <c r="C265" s="321" t="s">
        <v>1130</v>
      </c>
      <c r="D265" s="247">
        <v>122.63</v>
      </c>
      <c r="E265" s="315" t="s">
        <v>2110</v>
      </c>
      <c r="F265" s="429">
        <f>FLOOR(D265*10.76,0.01)</f>
        <v>1319.49</v>
      </c>
      <c r="G265" s="457">
        <f t="shared" si="11"/>
        <v>1365.67</v>
      </c>
    </row>
    <row r="266" spans="1:7">
      <c r="A266" s="340"/>
      <c r="B266" s="353" t="s">
        <v>3607</v>
      </c>
      <c r="C266" s="313"/>
      <c r="D266" s="247"/>
      <c r="E266" s="324"/>
      <c r="F266" s="430"/>
      <c r="G266" s="457">
        <f t="shared" si="11"/>
        <v>0</v>
      </c>
    </row>
    <row r="267" spans="1:7">
      <c r="A267" s="340"/>
      <c r="B267" s="317" t="s">
        <v>3205</v>
      </c>
      <c r="C267" s="321" t="s">
        <v>3347</v>
      </c>
      <c r="D267" s="247">
        <v>24.15</v>
      </c>
      <c r="E267" s="315" t="s">
        <v>2110</v>
      </c>
      <c r="F267" s="429">
        <f>FLOOR(D267*10.76,0.01)</f>
        <v>259.85000000000002</v>
      </c>
      <c r="G267" s="457">
        <f t="shared" si="11"/>
        <v>268.94</v>
      </c>
    </row>
    <row r="268" spans="1:7">
      <c r="A268" s="340"/>
      <c r="B268" s="317" t="s">
        <v>3206</v>
      </c>
      <c r="C268" s="321" t="s">
        <v>1130</v>
      </c>
      <c r="D268" s="247">
        <v>27.22</v>
      </c>
      <c r="E268" s="315" t="s">
        <v>2110</v>
      </c>
      <c r="F268" s="429">
        <f>FLOOR(D268*10.76,0.01)</f>
        <v>292.88</v>
      </c>
      <c r="G268" s="457">
        <f t="shared" si="11"/>
        <v>303.13</v>
      </c>
    </row>
    <row r="269" spans="1:7">
      <c r="A269" s="340"/>
      <c r="B269" s="317" t="s">
        <v>3207</v>
      </c>
      <c r="C269" s="321" t="s">
        <v>1130</v>
      </c>
      <c r="D269" s="247">
        <v>40.32</v>
      </c>
      <c r="E269" s="315" t="s">
        <v>2110</v>
      </c>
      <c r="F269" s="429">
        <f>FLOOR(D269*10.76,0.01)</f>
        <v>433.84000000000003</v>
      </c>
      <c r="G269" s="457">
        <f t="shared" ref="G269:G332" si="14">FLOOR(F269*1.035,0.01)</f>
        <v>449.02</v>
      </c>
    </row>
    <row r="270" spans="1:7">
      <c r="A270" s="340"/>
      <c r="B270" s="326" t="s">
        <v>3208</v>
      </c>
      <c r="C270" s="321" t="s">
        <v>1130</v>
      </c>
      <c r="D270" s="247">
        <v>52.4</v>
      </c>
      <c r="E270" s="315" t="s">
        <v>2110</v>
      </c>
      <c r="F270" s="429">
        <f>FLOOR(D270*10.76,0.01)</f>
        <v>563.82000000000005</v>
      </c>
      <c r="G270" s="457">
        <f t="shared" si="14"/>
        <v>583.55000000000007</v>
      </c>
    </row>
    <row r="271" spans="1:7" ht="32.25">
      <c r="A271" s="313"/>
      <c r="B271" s="353" t="s">
        <v>2799</v>
      </c>
      <c r="C271" s="313"/>
      <c r="D271" s="247"/>
      <c r="E271" s="324"/>
      <c r="F271" s="430"/>
      <c r="G271" s="457">
        <f t="shared" si="14"/>
        <v>0</v>
      </c>
    </row>
    <row r="272" spans="1:7">
      <c r="A272" s="313"/>
      <c r="B272" s="317" t="s">
        <v>2164</v>
      </c>
      <c r="C272" s="321" t="s">
        <v>3347</v>
      </c>
      <c r="D272" s="247">
        <v>35.299999999999997</v>
      </c>
      <c r="E272" s="315" t="s">
        <v>2110</v>
      </c>
      <c r="F272" s="429">
        <f t="shared" ref="F272:F277" si="15">FLOOR(D272*10.76,0.01)</f>
        <v>379.82</v>
      </c>
      <c r="G272" s="457">
        <f t="shared" si="14"/>
        <v>393.11</v>
      </c>
    </row>
    <row r="273" spans="1:7">
      <c r="A273" s="313"/>
      <c r="B273" s="317" t="s">
        <v>2165</v>
      </c>
      <c r="C273" s="321" t="s">
        <v>1130</v>
      </c>
      <c r="D273" s="247">
        <v>50.35</v>
      </c>
      <c r="E273" s="315" t="s">
        <v>2110</v>
      </c>
      <c r="F273" s="429">
        <f t="shared" si="15"/>
        <v>541.76</v>
      </c>
      <c r="G273" s="457">
        <f t="shared" si="14"/>
        <v>560.72</v>
      </c>
    </row>
    <row r="274" spans="1:7">
      <c r="A274" s="313"/>
      <c r="B274" s="317" t="s">
        <v>3671</v>
      </c>
      <c r="C274" s="321" t="s">
        <v>1130</v>
      </c>
      <c r="D274" s="247">
        <v>57.69</v>
      </c>
      <c r="E274" s="315" t="s">
        <v>2110</v>
      </c>
      <c r="F274" s="429">
        <f t="shared" si="15"/>
        <v>620.74</v>
      </c>
      <c r="G274" s="457">
        <f t="shared" si="14"/>
        <v>642.46</v>
      </c>
    </row>
    <row r="275" spans="1:7">
      <c r="A275" s="313"/>
      <c r="B275" s="317" t="s">
        <v>3672</v>
      </c>
      <c r="C275" s="321" t="s">
        <v>1130</v>
      </c>
      <c r="D275" s="247">
        <v>65.59</v>
      </c>
      <c r="E275" s="315" t="s">
        <v>2110</v>
      </c>
      <c r="F275" s="429">
        <f t="shared" si="15"/>
        <v>705.74</v>
      </c>
      <c r="G275" s="457">
        <f t="shared" si="14"/>
        <v>730.44</v>
      </c>
    </row>
    <row r="276" spans="1:7">
      <c r="A276" s="313"/>
      <c r="B276" s="317" t="s">
        <v>3673</v>
      </c>
      <c r="C276" s="321" t="s">
        <v>1130</v>
      </c>
      <c r="D276" s="247">
        <v>75.62</v>
      </c>
      <c r="E276" s="315" t="s">
        <v>2110</v>
      </c>
      <c r="F276" s="429">
        <f t="shared" si="15"/>
        <v>813.67000000000007</v>
      </c>
      <c r="G276" s="457">
        <f t="shared" si="14"/>
        <v>842.14</v>
      </c>
    </row>
    <row r="277" spans="1:7">
      <c r="A277" s="313"/>
      <c r="B277" s="326" t="s">
        <v>3674</v>
      </c>
      <c r="C277" s="321" t="s">
        <v>1130</v>
      </c>
      <c r="D277" s="247">
        <v>94.39</v>
      </c>
      <c r="E277" s="315" t="s">
        <v>2110</v>
      </c>
      <c r="F277" s="429">
        <f t="shared" si="15"/>
        <v>1015.63</v>
      </c>
      <c r="G277" s="457">
        <f t="shared" si="14"/>
        <v>1051.17</v>
      </c>
    </row>
    <row r="278" spans="1:7" ht="32.25">
      <c r="A278" s="313"/>
      <c r="B278" s="353" t="s">
        <v>3521</v>
      </c>
      <c r="C278" s="313"/>
      <c r="D278" s="247"/>
      <c r="E278" s="316"/>
      <c r="F278" s="429"/>
      <c r="G278" s="457">
        <f t="shared" si="14"/>
        <v>0</v>
      </c>
    </row>
    <row r="279" spans="1:7">
      <c r="A279" s="313"/>
      <c r="B279" s="317" t="s">
        <v>2164</v>
      </c>
      <c r="C279" s="321" t="s">
        <v>3347</v>
      </c>
      <c r="D279" s="247">
        <v>40.32</v>
      </c>
      <c r="E279" s="315" t="s">
        <v>2110</v>
      </c>
      <c r="F279" s="429">
        <f>FLOOR(D279*10.76,0.01)</f>
        <v>433.84000000000003</v>
      </c>
      <c r="G279" s="457">
        <f t="shared" si="14"/>
        <v>449.02</v>
      </c>
    </row>
    <row r="280" spans="1:7">
      <c r="A280" s="313"/>
      <c r="B280" s="317" t="s">
        <v>2165</v>
      </c>
      <c r="C280" s="321" t="s">
        <v>1130</v>
      </c>
      <c r="D280" s="247">
        <v>54.44</v>
      </c>
      <c r="E280" s="315" t="s">
        <v>2110</v>
      </c>
      <c r="F280" s="429">
        <f>FLOOR(D280*10.76,0.01)</f>
        <v>585.77</v>
      </c>
      <c r="G280" s="457">
        <f t="shared" si="14"/>
        <v>606.27</v>
      </c>
    </row>
    <row r="281" spans="1:7">
      <c r="A281" s="313"/>
      <c r="B281" s="317" t="s">
        <v>3671</v>
      </c>
      <c r="C281" s="321" t="s">
        <v>1130</v>
      </c>
      <c r="D281" s="247">
        <v>65.03</v>
      </c>
      <c r="E281" s="315" t="s">
        <v>2110</v>
      </c>
      <c r="F281" s="429">
        <f>FLOOR(D281*10.76,0.01)</f>
        <v>699.72</v>
      </c>
      <c r="G281" s="457">
        <f t="shared" si="14"/>
        <v>724.21</v>
      </c>
    </row>
    <row r="282" spans="1:7" ht="32.25">
      <c r="A282" s="313"/>
      <c r="B282" s="353" t="s">
        <v>3522</v>
      </c>
      <c r="C282" s="313"/>
      <c r="D282" s="247"/>
      <c r="E282" s="324"/>
      <c r="F282" s="430"/>
      <c r="G282" s="457">
        <f t="shared" si="14"/>
        <v>0</v>
      </c>
    </row>
    <row r="283" spans="1:7">
      <c r="A283" s="313"/>
      <c r="B283" s="317" t="s">
        <v>2164</v>
      </c>
      <c r="C283" s="321" t="s">
        <v>3347</v>
      </c>
      <c r="D283" s="247">
        <v>40.78</v>
      </c>
      <c r="E283" s="315" t="s">
        <v>2110</v>
      </c>
      <c r="F283" s="429">
        <f>FLOOR(D283*10.76,0.01)</f>
        <v>438.79</v>
      </c>
      <c r="G283" s="457">
        <f t="shared" si="14"/>
        <v>454.14</v>
      </c>
    </row>
    <row r="284" spans="1:7">
      <c r="A284" s="313"/>
      <c r="B284" s="317" t="s">
        <v>3523</v>
      </c>
      <c r="C284" s="321" t="s">
        <v>1130</v>
      </c>
      <c r="D284" s="247">
        <v>46.36</v>
      </c>
      <c r="E284" s="315" t="s">
        <v>2110</v>
      </c>
      <c r="F284" s="429">
        <f>FLOOR(D284*10.76,0.01)</f>
        <v>498.83</v>
      </c>
      <c r="G284" s="457">
        <f t="shared" si="14"/>
        <v>516.28</v>
      </c>
    </row>
    <row r="285" spans="1:7">
      <c r="A285" s="313"/>
      <c r="B285" s="317" t="s">
        <v>3524</v>
      </c>
      <c r="C285" s="321" t="s">
        <v>1130</v>
      </c>
      <c r="D285" s="247">
        <v>57.23</v>
      </c>
      <c r="E285" s="315" t="s">
        <v>2110</v>
      </c>
      <c r="F285" s="429">
        <f>FLOOR(D285*10.76,0.01)</f>
        <v>615.79</v>
      </c>
      <c r="G285" s="457">
        <f t="shared" si="14"/>
        <v>637.34</v>
      </c>
    </row>
    <row r="286" spans="1:7">
      <c r="A286" s="313"/>
      <c r="B286" s="317" t="s">
        <v>3525</v>
      </c>
      <c r="C286" s="321" t="s">
        <v>1130</v>
      </c>
      <c r="D286" s="247">
        <v>75.069999999999993</v>
      </c>
      <c r="E286" s="315" t="s">
        <v>2110</v>
      </c>
      <c r="F286" s="429">
        <f>FLOOR(D286*10.76,0.01)</f>
        <v>807.75</v>
      </c>
      <c r="G286" s="457">
        <f t="shared" si="14"/>
        <v>836.02</v>
      </c>
    </row>
    <row r="287" spans="1:7" ht="32.25">
      <c r="A287" s="313"/>
      <c r="B287" s="353" t="s">
        <v>2166</v>
      </c>
      <c r="C287" s="313"/>
      <c r="D287" s="247"/>
      <c r="E287" s="316"/>
      <c r="F287" s="429"/>
      <c r="G287" s="457">
        <f t="shared" si="14"/>
        <v>0</v>
      </c>
    </row>
    <row r="288" spans="1:7">
      <c r="A288" s="313"/>
      <c r="B288" s="317" t="s">
        <v>2164</v>
      </c>
      <c r="C288" s="321" t="s">
        <v>3347</v>
      </c>
      <c r="D288" s="247">
        <v>46.36</v>
      </c>
      <c r="E288" s="315" t="s">
        <v>2110</v>
      </c>
      <c r="F288" s="429">
        <f>FLOOR(D288*10.76,0.01)</f>
        <v>498.83</v>
      </c>
      <c r="G288" s="457">
        <f t="shared" si="14"/>
        <v>516.28</v>
      </c>
    </row>
    <row r="289" spans="1:7">
      <c r="A289" s="313"/>
      <c r="B289" s="317" t="s">
        <v>3523</v>
      </c>
      <c r="C289" s="321" t="s">
        <v>1130</v>
      </c>
      <c r="D289" s="247">
        <v>51.93</v>
      </c>
      <c r="E289" s="315" t="s">
        <v>2110</v>
      </c>
      <c r="F289" s="429">
        <f>FLOOR(D289*10.76,0.01)</f>
        <v>558.76</v>
      </c>
      <c r="G289" s="457">
        <f t="shared" si="14"/>
        <v>578.31000000000006</v>
      </c>
    </row>
    <row r="290" spans="1:7">
      <c r="A290" s="313"/>
      <c r="B290" s="317" t="s">
        <v>3524</v>
      </c>
      <c r="C290" s="321" t="s">
        <v>1130</v>
      </c>
      <c r="D290" s="247">
        <v>62.99</v>
      </c>
      <c r="E290" s="315" t="s">
        <v>2110</v>
      </c>
      <c r="F290" s="429">
        <f>FLOOR(D290*10.76,0.01)</f>
        <v>677.77</v>
      </c>
      <c r="G290" s="457">
        <f t="shared" si="14"/>
        <v>701.49</v>
      </c>
    </row>
    <row r="291" spans="1:7">
      <c r="A291" s="313"/>
      <c r="B291" s="317" t="s">
        <v>3525</v>
      </c>
      <c r="C291" s="321" t="s">
        <v>1130</v>
      </c>
      <c r="D291" s="247">
        <v>80.64</v>
      </c>
      <c r="E291" s="315" t="s">
        <v>2110</v>
      </c>
      <c r="F291" s="429">
        <f>FLOOR(D291*10.76,0.01)</f>
        <v>867.68000000000006</v>
      </c>
      <c r="G291" s="457">
        <f t="shared" si="14"/>
        <v>898.04</v>
      </c>
    </row>
    <row r="292" spans="1:7" ht="37.5">
      <c r="A292" s="340">
        <v>25</v>
      </c>
      <c r="B292" s="354" t="s">
        <v>2167</v>
      </c>
      <c r="C292" s="321"/>
      <c r="D292" s="247"/>
      <c r="E292" s="316"/>
      <c r="F292" s="429"/>
      <c r="G292" s="457">
        <f t="shared" si="14"/>
        <v>0</v>
      </c>
    </row>
    <row r="293" spans="1:7">
      <c r="A293" s="313"/>
      <c r="B293" s="317" t="s">
        <v>1720</v>
      </c>
      <c r="C293" s="321" t="s">
        <v>2168</v>
      </c>
      <c r="D293" s="247">
        <v>387</v>
      </c>
      <c r="E293" s="315" t="s">
        <v>2110</v>
      </c>
      <c r="F293" s="429">
        <v>387</v>
      </c>
      <c r="G293" s="457">
        <f t="shared" si="14"/>
        <v>400.54</v>
      </c>
    </row>
    <row r="294" spans="1:7">
      <c r="A294" s="313"/>
      <c r="B294" s="317" t="s">
        <v>2169</v>
      </c>
      <c r="C294" s="321" t="s">
        <v>3347</v>
      </c>
      <c r="D294" s="247">
        <v>55</v>
      </c>
      <c r="E294" s="315" t="s">
        <v>2110</v>
      </c>
      <c r="F294" s="429">
        <f>FLOOR(D294*10.76,0.01)</f>
        <v>591.80000000000007</v>
      </c>
      <c r="G294" s="457">
        <f t="shared" si="14"/>
        <v>612.51</v>
      </c>
    </row>
    <row r="295" spans="1:7">
      <c r="A295" s="313"/>
      <c r="B295" s="317" t="s">
        <v>1721</v>
      </c>
      <c r="C295" s="321" t="s">
        <v>2621</v>
      </c>
      <c r="D295" s="247">
        <v>30</v>
      </c>
      <c r="E295" s="315" t="s">
        <v>2110</v>
      </c>
      <c r="F295" s="429">
        <f>FLOOR(D295*10.76,0.01)</f>
        <v>322.8</v>
      </c>
      <c r="G295" s="457">
        <f t="shared" si="14"/>
        <v>334.09000000000003</v>
      </c>
    </row>
    <row r="296" spans="1:7">
      <c r="A296" s="340">
        <v>26</v>
      </c>
      <c r="B296" s="313" t="s">
        <v>1722</v>
      </c>
      <c r="C296" s="314"/>
      <c r="D296" s="247"/>
      <c r="E296" s="324"/>
      <c r="F296" s="430"/>
      <c r="G296" s="457">
        <f t="shared" si="14"/>
        <v>0</v>
      </c>
    </row>
    <row r="297" spans="1:7">
      <c r="A297" s="313"/>
      <c r="B297" s="313" t="s">
        <v>1723</v>
      </c>
      <c r="C297" s="314"/>
      <c r="D297" s="247"/>
      <c r="E297" s="324"/>
      <c r="F297" s="430"/>
      <c r="G297" s="457">
        <f t="shared" si="14"/>
        <v>0</v>
      </c>
    </row>
    <row r="298" spans="1:7">
      <c r="A298" s="313"/>
      <c r="B298" s="317" t="s">
        <v>2170</v>
      </c>
      <c r="C298" s="321" t="s">
        <v>2171</v>
      </c>
      <c r="D298" s="247">
        <v>36</v>
      </c>
      <c r="E298" s="315" t="s">
        <v>2110</v>
      </c>
      <c r="F298" s="429">
        <f>FLOOR(D298*10.76,0.01)</f>
        <v>387.36</v>
      </c>
      <c r="G298" s="457">
        <f t="shared" si="14"/>
        <v>400.91</v>
      </c>
    </row>
    <row r="299" spans="1:7">
      <c r="A299" s="313"/>
      <c r="B299" s="317" t="s">
        <v>2172</v>
      </c>
      <c r="C299" s="321" t="s">
        <v>2201</v>
      </c>
      <c r="D299" s="247">
        <v>46</v>
      </c>
      <c r="E299" s="315" t="s">
        <v>2110</v>
      </c>
      <c r="F299" s="429">
        <f>FLOOR(D299*10.76,0.01)</f>
        <v>494.96000000000004</v>
      </c>
      <c r="G299" s="457">
        <f t="shared" si="14"/>
        <v>512.28</v>
      </c>
    </row>
    <row r="300" spans="1:7">
      <c r="A300" s="313"/>
      <c r="B300" s="317" t="s">
        <v>2173</v>
      </c>
      <c r="C300" s="321" t="s">
        <v>2621</v>
      </c>
      <c r="D300" s="247">
        <v>63</v>
      </c>
      <c r="E300" s="315" t="s">
        <v>2110</v>
      </c>
      <c r="F300" s="429">
        <f>FLOOR(D300*10.76,0.01)</f>
        <v>677.88</v>
      </c>
      <c r="G300" s="457">
        <f t="shared" si="14"/>
        <v>701.6</v>
      </c>
    </row>
    <row r="301" spans="1:7">
      <c r="A301" s="313"/>
      <c r="B301" s="317" t="s">
        <v>2174</v>
      </c>
      <c r="C301" s="321" t="s">
        <v>2621</v>
      </c>
      <c r="D301" s="247">
        <v>78</v>
      </c>
      <c r="E301" s="315" t="s">
        <v>2110</v>
      </c>
      <c r="F301" s="429">
        <f>FLOOR(D301*10.76,0.01)</f>
        <v>839.28</v>
      </c>
      <c r="G301" s="457">
        <f t="shared" si="14"/>
        <v>868.65</v>
      </c>
    </row>
    <row r="302" spans="1:7">
      <c r="A302" s="313"/>
      <c r="B302" s="313" t="s">
        <v>1724</v>
      </c>
      <c r="C302" s="321"/>
      <c r="D302" s="247"/>
      <c r="E302" s="316"/>
      <c r="F302" s="429"/>
      <c r="G302" s="457">
        <f t="shared" si="14"/>
        <v>0</v>
      </c>
    </row>
    <row r="303" spans="1:7">
      <c r="A303" s="313"/>
      <c r="B303" s="317" t="s">
        <v>2170</v>
      </c>
      <c r="C303" s="321" t="s">
        <v>2621</v>
      </c>
      <c r="D303" s="247">
        <v>30</v>
      </c>
      <c r="E303" s="315" t="s">
        <v>2110</v>
      </c>
      <c r="F303" s="429">
        <f>FLOOR(D303*10.76,0.01)</f>
        <v>322.8</v>
      </c>
      <c r="G303" s="457">
        <f t="shared" si="14"/>
        <v>334.09000000000003</v>
      </c>
    </row>
    <row r="304" spans="1:7">
      <c r="A304" s="313"/>
      <c r="B304" s="317" t="s">
        <v>2701</v>
      </c>
      <c r="C304" s="321" t="s">
        <v>2621</v>
      </c>
      <c r="D304" s="247">
        <v>35</v>
      </c>
      <c r="E304" s="315" t="s">
        <v>2110</v>
      </c>
      <c r="F304" s="429">
        <f>FLOOR(D304*10.76,0.01)</f>
        <v>376.6</v>
      </c>
      <c r="G304" s="457">
        <f t="shared" si="14"/>
        <v>389.78000000000003</v>
      </c>
    </row>
    <row r="305" spans="1:7">
      <c r="A305" s="313"/>
      <c r="B305" s="313" t="s">
        <v>2702</v>
      </c>
      <c r="C305" s="321"/>
      <c r="D305" s="247"/>
      <c r="E305" s="316"/>
      <c r="F305" s="429"/>
      <c r="G305" s="457">
        <f t="shared" si="14"/>
        <v>0</v>
      </c>
    </row>
    <row r="306" spans="1:7">
      <c r="A306" s="313"/>
      <c r="B306" s="317" t="s">
        <v>2703</v>
      </c>
      <c r="C306" s="321" t="s">
        <v>2621</v>
      </c>
      <c r="D306" s="247">
        <v>100</v>
      </c>
      <c r="E306" s="315" t="s">
        <v>2110</v>
      </c>
      <c r="F306" s="429">
        <f>FLOOR(D306*10.76,0.01)</f>
        <v>1076</v>
      </c>
      <c r="G306" s="457">
        <f t="shared" si="14"/>
        <v>1113.6600000000001</v>
      </c>
    </row>
    <row r="307" spans="1:7">
      <c r="A307" s="313"/>
      <c r="B307" s="313" t="s">
        <v>2704</v>
      </c>
      <c r="C307" s="313"/>
      <c r="D307" s="247"/>
      <c r="E307" s="324"/>
      <c r="F307" s="430"/>
      <c r="G307" s="457">
        <f t="shared" si="14"/>
        <v>0</v>
      </c>
    </row>
    <row r="308" spans="1:7">
      <c r="A308" s="313"/>
      <c r="B308" s="317" t="s">
        <v>2705</v>
      </c>
      <c r="C308" s="321" t="s">
        <v>2171</v>
      </c>
      <c r="D308" s="247">
        <v>60</v>
      </c>
      <c r="E308" s="315" t="s">
        <v>2110</v>
      </c>
      <c r="F308" s="429">
        <f t="shared" ref="F308:F314" si="16">FLOOR(D308*10.76,0.01)</f>
        <v>645.6</v>
      </c>
      <c r="G308" s="457">
        <f t="shared" si="14"/>
        <v>668.19</v>
      </c>
    </row>
    <row r="309" spans="1:7">
      <c r="A309" s="313"/>
      <c r="B309" s="317" t="s">
        <v>2706</v>
      </c>
      <c r="C309" s="321" t="s">
        <v>2201</v>
      </c>
      <c r="D309" s="247">
        <v>65</v>
      </c>
      <c r="E309" s="315" t="s">
        <v>2110</v>
      </c>
      <c r="F309" s="429">
        <f t="shared" si="16"/>
        <v>699.4</v>
      </c>
      <c r="G309" s="457">
        <f t="shared" si="14"/>
        <v>723.87</v>
      </c>
    </row>
    <row r="310" spans="1:7">
      <c r="A310" s="313"/>
      <c r="B310" s="317" t="s">
        <v>2707</v>
      </c>
      <c r="C310" s="321" t="s">
        <v>2621</v>
      </c>
      <c r="D310" s="247">
        <v>90</v>
      </c>
      <c r="E310" s="315" t="s">
        <v>2110</v>
      </c>
      <c r="F310" s="429">
        <f t="shared" si="16"/>
        <v>968.4</v>
      </c>
      <c r="G310" s="457">
        <f t="shared" si="14"/>
        <v>1002.2900000000001</v>
      </c>
    </row>
    <row r="311" spans="1:7">
      <c r="A311" s="313"/>
      <c r="B311" s="317" t="s">
        <v>2708</v>
      </c>
      <c r="C311" s="321" t="s">
        <v>2621</v>
      </c>
      <c r="D311" s="247">
        <v>105</v>
      </c>
      <c r="E311" s="315" t="s">
        <v>2110</v>
      </c>
      <c r="F311" s="429">
        <f t="shared" si="16"/>
        <v>1129.8</v>
      </c>
      <c r="G311" s="457">
        <f t="shared" si="14"/>
        <v>1169.3399999999999</v>
      </c>
    </row>
    <row r="312" spans="1:7">
      <c r="A312" s="313"/>
      <c r="B312" s="317" t="s">
        <v>2709</v>
      </c>
      <c r="C312" s="321" t="s">
        <v>2621</v>
      </c>
      <c r="D312" s="247">
        <v>180</v>
      </c>
      <c r="E312" s="315" t="s">
        <v>2110</v>
      </c>
      <c r="F312" s="429">
        <f t="shared" si="16"/>
        <v>1936.8</v>
      </c>
      <c r="G312" s="457">
        <f t="shared" si="14"/>
        <v>2004.5800000000002</v>
      </c>
    </row>
    <row r="313" spans="1:7">
      <c r="A313" s="313"/>
      <c r="B313" s="317" t="s">
        <v>2710</v>
      </c>
      <c r="C313" s="321" t="s">
        <v>2621</v>
      </c>
      <c r="D313" s="247">
        <v>220</v>
      </c>
      <c r="E313" s="315" t="s">
        <v>2110</v>
      </c>
      <c r="F313" s="429">
        <f t="shared" si="16"/>
        <v>2367.2000000000003</v>
      </c>
      <c r="G313" s="457">
        <f t="shared" si="14"/>
        <v>2450.0500000000002</v>
      </c>
    </row>
    <row r="314" spans="1:7">
      <c r="A314" s="313"/>
      <c r="B314" s="317" t="s">
        <v>2711</v>
      </c>
      <c r="C314" s="321" t="s">
        <v>1130</v>
      </c>
      <c r="D314" s="247">
        <v>250</v>
      </c>
      <c r="E314" s="315" t="s">
        <v>2110</v>
      </c>
      <c r="F314" s="429">
        <f t="shared" si="16"/>
        <v>2690</v>
      </c>
      <c r="G314" s="457">
        <f t="shared" si="14"/>
        <v>2784.15</v>
      </c>
    </row>
    <row r="315" spans="1:7" ht="37.5">
      <c r="A315" s="313"/>
      <c r="B315" s="313" t="s">
        <v>1725</v>
      </c>
      <c r="C315" s="321"/>
      <c r="D315" s="247"/>
      <c r="E315" s="316"/>
      <c r="F315" s="429"/>
      <c r="G315" s="457">
        <f t="shared" si="14"/>
        <v>0</v>
      </c>
    </row>
    <row r="316" spans="1:7">
      <c r="A316" s="313"/>
      <c r="B316" s="317" t="s">
        <v>2712</v>
      </c>
      <c r="C316" s="321" t="s">
        <v>2201</v>
      </c>
      <c r="D316" s="247">
        <v>85</v>
      </c>
      <c r="E316" s="315" t="s">
        <v>2110</v>
      </c>
      <c r="F316" s="429">
        <f>FLOOR(D316*10.76,0.01)</f>
        <v>914.6</v>
      </c>
      <c r="G316" s="457">
        <f t="shared" si="14"/>
        <v>946.61</v>
      </c>
    </row>
    <row r="317" spans="1:7" ht="34.5">
      <c r="A317" s="313"/>
      <c r="B317" s="314" t="s">
        <v>1726</v>
      </c>
      <c r="C317" s="321"/>
      <c r="D317" s="247"/>
      <c r="E317" s="316"/>
      <c r="F317" s="428"/>
      <c r="G317" s="457">
        <f t="shared" si="14"/>
        <v>0</v>
      </c>
    </row>
    <row r="318" spans="1:7">
      <c r="A318" s="313"/>
      <c r="B318" s="317" t="s">
        <v>2713</v>
      </c>
      <c r="C318" s="321" t="s">
        <v>2714</v>
      </c>
      <c r="D318" s="247">
        <v>4172</v>
      </c>
      <c r="E318" s="315" t="s">
        <v>2110</v>
      </c>
      <c r="F318" s="436">
        <f>D318</f>
        <v>4172</v>
      </c>
      <c r="G318" s="457">
        <f t="shared" si="14"/>
        <v>4318.0200000000004</v>
      </c>
    </row>
    <row r="319" spans="1:7" ht="26.25" customHeight="1">
      <c r="A319" s="313"/>
      <c r="B319" s="314" t="s">
        <v>1727</v>
      </c>
      <c r="C319" s="321"/>
      <c r="D319" s="247"/>
      <c r="E319" s="316"/>
      <c r="F319" s="428"/>
      <c r="G319" s="457">
        <f t="shared" si="14"/>
        <v>0</v>
      </c>
    </row>
    <row r="320" spans="1:7">
      <c r="A320" s="313"/>
      <c r="B320" s="317" t="s">
        <v>2715</v>
      </c>
      <c r="C320" s="321" t="s">
        <v>2201</v>
      </c>
      <c r="D320" s="247">
        <v>120</v>
      </c>
      <c r="E320" s="315" t="s">
        <v>2110</v>
      </c>
      <c r="F320" s="429">
        <f>FLOOR(D320*10.76,0.01)</f>
        <v>1291.2</v>
      </c>
      <c r="G320" s="457">
        <f t="shared" si="14"/>
        <v>1336.39</v>
      </c>
    </row>
    <row r="321" spans="1:7">
      <c r="A321" s="340"/>
      <c r="B321" s="355" t="s">
        <v>1728</v>
      </c>
      <c r="C321" s="356"/>
      <c r="D321" s="247"/>
      <c r="E321" s="344"/>
      <c r="F321" s="432"/>
      <c r="G321" s="457">
        <f t="shared" si="14"/>
        <v>0</v>
      </c>
    </row>
    <row r="322" spans="1:7" ht="42.75" customHeight="1">
      <c r="A322" s="340">
        <v>27</v>
      </c>
      <c r="B322" s="313" t="s">
        <v>2716</v>
      </c>
      <c r="C322" s="321"/>
      <c r="D322" s="247"/>
      <c r="E322" s="343"/>
      <c r="F322" s="431"/>
      <c r="G322" s="457">
        <f t="shared" si="14"/>
        <v>0</v>
      </c>
    </row>
    <row r="323" spans="1:7">
      <c r="A323" s="340"/>
      <c r="B323" s="317" t="s">
        <v>1729</v>
      </c>
      <c r="C323" s="321" t="s">
        <v>2201</v>
      </c>
      <c r="D323" s="247">
        <v>90</v>
      </c>
      <c r="E323" s="315" t="s">
        <v>2110</v>
      </c>
      <c r="F323" s="429">
        <f>FLOOR(D323*10.76,0.01)</f>
        <v>968.4</v>
      </c>
      <c r="G323" s="457">
        <f t="shared" si="14"/>
        <v>1002.2900000000001</v>
      </c>
    </row>
    <row r="324" spans="1:7">
      <c r="A324" s="313"/>
      <c r="B324" s="317" t="s">
        <v>2717</v>
      </c>
      <c r="C324" s="321" t="s">
        <v>2718</v>
      </c>
      <c r="D324" s="247">
        <v>100</v>
      </c>
      <c r="E324" s="315" t="s">
        <v>2110</v>
      </c>
      <c r="F324" s="429">
        <f>FLOOR(D324*10.76,0.01)</f>
        <v>1076</v>
      </c>
      <c r="G324" s="457">
        <f t="shared" si="14"/>
        <v>1113.6600000000001</v>
      </c>
    </row>
    <row r="325" spans="1:7">
      <c r="A325" s="313"/>
      <c r="B325" s="317" t="s">
        <v>3457</v>
      </c>
      <c r="C325" s="321" t="s">
        <v>2718</v>
      </c>
      <c r="D325" s="247">
        <v>170</v>
      </c>
      <c r="E325" s="315" t="s">
        <v>2110</v>
      </c>
      <c r="F325" s="429">
        <f>FLOOR(D325*10.76,0.01)</f>
        <v>1829.2</v>
      </c>
      <c r="G325" s="457">
        <f t="shared" si="14"/>
        <v>1893.22</v>
      </c>
    </row>
    <row r="326" spans="1:7">
      <c r="A326" s="313"/>
      <c r="B326" s="317" t="s">
        <v>3458</v>
      </c>
      <c r="C326" s="321" t="s">
        <v>2718</v>
      </c>
      <c r="D326" s="247">
        <v>230</v>
      </c>
      <c r="E326" s="315" t="s">
        <v>2110</v>
      </c>
      <c r="F326" s="429">
        <f>FLOOR(D326*10.76,0.01)</f>
        <v>2474.8000000000002</v>
      </c>
      <c r="G326" s="457">
        <f t="shared" si="14"/>
        <v>2561.41</v>
      </c>
    </row>
    <row r="327" spans="1:7" ht="32.25">
      <c r="A327" s="313"/>
      <c r="B327" s="357" t="s">
        <v>1730</v>
      </c>
      <c r="C327" s="339" t="s">
        <v>3459</v>
      </c>
      <c r="D327" s="247">
        <v>55</v>
      </c>
      <c r="E327" s="315" t="s">
        <v>1101</v>
      </c>
      <c r="F327" s="426">
        <f>D327</f>
        <v>55</v>
      </c>
      <c r="G327" s="457">
        <f t="shared" si="14"/>
        <v>56.92</v>
      </c>
    </row>
    <row r="328" spans="1:7">
      <c r="A328" s="313"/>
      <c r="B328" s="357" t="s">
        <v>1731</v>
      </c>
      <c r="C328" s="339" t="s">
        <v>3460</v>
      </c>
      <c r="D328" s="247">
        <v>5.5</v>
      </c>
      <c r="E328" s="315" t="s">
        <v>803</v>
      </c>
      <c r="F328" s="426">
        <f>D328</f>
        <v>5.5</v>
      </c>
      <c r="G328" s="457">
        <f t="shared" si="14"/>
        <v>5.69</v>
      </c>
    </row>
    <row r="329" spans="1:7">
      <c r="A329" s="340">
        <v>28</v>
      </c>
      <c r="B329" s="314" t="s">
        <v>1732</v>
      </c>
      <c r="C329" s="314"/>
      <c r="D329" s="247"/>
      <c r="E329" s="325"/>
      <c r="F329" s="430"/>
      <c r="G329" s="457">
        <f t="shared" si="14"/>
        <v>0</v>
      </c>
    </row>
    <row r="330" spans="1:7">
      <c r="A330" s="340"/>
      <c r="B330" s="313" t="s">
        <v>1733</v>
      </c>
      <c r="C330" s="358"/>
      <c r="D330" s="247"/>
      <c r="E330" s="331"/>
      <c r="F330" s="438"/>
      <c r="G330" s="457">
        <f t="shared" si="14"/>
        <v>0</v>
      </c>
    </row>
    <row r="331" spans="1:7">
      <c r="A331" s="340"/>
      <c r="B331" s="353" t="s">
        <v>1734</v>
      </c>
      <c r="C331" s="358"/>
      <c r="D331" s="247"/>
      <c r="E331" s="331"/>
      <c r="F331" s="438"/>
      <c r="G331" s="457">
        <f t="shared" si="14"/>
        <v>0</v>
      </c>
    </row>
    <row r="332" spans="1:7">
      <c r="A332" s="313"/>
      <c r="B332" s="317" t="s">
        <v>3461</v>
      </c>
      <c r="C332" s="321" t="s">
        <v>803</v>
      </c>
      <c r="D332" s="247">
        <v>13</v>
      </c>
      <c r="E332" s="321" t="s">
        <v>803</v>
      </c>
      <c r="F332" s="426">
        <f>D332</f>
        <v>13</v>
      </c>
      <c r="G332" s="457">
        <f t="shared" si="14"/>
        <v>13.450000000000001</v>
      </c>
    </row>
    <row r="333" spans="1:7">
      <c r="A333" s="313"/>
      <c r="B333" s="317" t="s">
        <v>3462</v>
      </c>
      <c r="C333" s="321" t="s">
        <v>2718</v>
      </c>
      <c r="D333" s="247">
        <v>25</v>
      </c>
      <c r="E333" s="321" t="s">
        <v>803</v>
      </c>
      <c r="F333" s="426">
        <f>D333</f>
        <v>25</v>
      </c>
      <c r="G333" s="457">
        <f t="shared" ref="G333:G396" si="17">FLOOR(F333*1.035,0.01)</f>
        <v>25.87</v>
      </c>
    </row>
    <row r="334" spans="1:7">
      <c r="A334" s="313"/>
      <c r="B334" s="317" t="s">
        <v>3463</v>
      </c>
      <c r="C334" s="321" t="s">
        <v>2718</v>
      </c>
      <c r="D334" s="247">
        <v>36</v>
      </c>
      <c r="E334" s="321" t="s">
        <v>803</v>
      </c>
      <c r="F334" s="426">
        <f>D334</f>
        <v>36</v>
      </c>
      <c r="G334" s="457">
        <f t="shared" si="17"/>
        <v>37.26</v>
      </c>
    </row>
    <row r="335" spans="1:7">
      <c r="A335" s="313"/>
      <c r="B335" s="317" t="s">
        <v>3464</v>
      </c>
      <c r="C335" s="321" t="s">
        <v>2718</v>
      </c>
      <c r="D335" s="247">
        <v>48</v>
      </c>
      <c r="E335" s="321" t="s">
        <v>803</v>
      </c>
      <c r="F335" s="426">
        <f>D335</f>
        <v>48</v>
      </c>
      <c r="G335" s="457">
        <f t="shared" si="17"/>
        <v>49.68</v>
      </c>
    </row>
    <row r="336" spans="1:7">
      <c r="A336" s="313"/>
      <c r="B336" s="353" t="s">
        <v>3465</v>
      </c>
      <c r="C336" s="321"/>
      <c r="D336" s="247"/>
      <c r="E336" s="316"/>
      <c r="F336" s="427"/>
      <c r="G336" s="457">
        <f t="shared" si="17"/>
        <v>0</v>
      </c>
    </row>
    <row r="337" spans="1:7">
      <c r="A337" s="313"/>
      <c r="B337" s="284" t="s">
        <v>3466</v>
      </c>
      <c r="C337" s="321" t="s">
        <v>803</v>
      </c>
      <c r="D337" s="247">
        <v>220</v>
      </c>
      <c r="E337" s="321" t="s">
        <v>803</v>
      </c>
      <c r="F337" s="426">
        <f>D337</f>
        <v>220</v>
      </c>
      <c r="G337" s="457">
        <f t="shared" si="17"/>
        <v>227.70000000000002</v>
      </c>
    </row>
    <row r="338" spans="1:7">
      <c r="A338" s="313"/>
      <c r="B338" s="284" t="s">
        <v>3467</v>
      </c>
      <c r="C338" s="321"/>
      <c r="D338" s="247">
        <v>190</v>
      </c>
      <c r="E338" s="321" t="s">
        <v>803</v>
      </c>
      <c r="F338" s="426">
        <f>D338</f>
        <v>190</v>
      </c>
      <c r="G338" s="457">
        <f t="shared" si="17"/>
        <v>196.65</v>
      </c>
    </row>
    <row r="339" spans="1:7">
      <c r="A339" s="313"/>
      <c r="B339" s="284" t="s">
        <v>3468</v>
      </c>
      <c r="C339" s="321"/>
      <c r="D339" s="247">
        <v>160</v>
      </c>
      <c r="E339" s="321" t="s">
        <v>803</v>
      </c>
      <c r="F339" s="426">
        <f>D339</f>
        <v>160</v>
      </c>
      <c r="G339" s="457">
        <f t="shared" si="17"/>
        <v>165.6</v>
      </c>
    </row>
    <row r="340" spans="1:7">
      <c r="A340" s="340"/>
      <c r="B340" s="313" t="s">
        <v>1735</v>
      </c>
      <c r="C340" s="358"/>
      <c r="D340" s="247"/>
      <c r="E340" s="331"/>
      <c r="F340" s="438"/>
      <c r="G340" s="457">
        <f t="shared" si="17"/>
        <v>0</v>
      </c>
    </row>
    <row r="341" spans="1:7">
      <c r="A341" s="313"/>
      <c r="B341" s="353" t="s">
        <v>1736</v>
      </c>
      <c r="C341" s="321"/>
      <c r="D341" s="247"/>
      <c r="E341" s="322"/>
      <c r="F341" s="428"/>
      <c r="G341" s="457">
        <f t="shared" si="17"/>
        <v>0</v>
      </c>
    </row>
    <row r="342" spans="1:7">
      <c r="A342" s="313"/>
      <c r="B342" s="317" t="s">
        <v>3469</v>
      </c>
      <c r="C342" s="321" t="s">
        <v>803</v>
      </c>
      <c r="D342" s="247">
        <v>27</v>
      </c>
      <c r="E342" s="321" t="s">
        <v>803</v>
      </c>
      <c r="F342" s="426">
        <f t="shared" ref="F342:F347" si="18">D342</f>
        <v>27</v>
      </c>
      <c r="G342" s="457">
        <f t="shared" si="17"/>
        <v>27.94</v>
      </c>
    </row>
    <row r="343" spans="1:7">
      <c r="A343" s="313"/>
      <c r="B343" s="317" t="s">
        <v>3470</v>
      </c>
      <c r="C343" s="321" t="s">
        <v>2718</v>
      </c>
      <c r="D343" s="247">
        <v>35</v>
      </c>
      <c r="E343" s="321" t="s">
        <v>803</v>
      </c>
      <c r="F343" s="426">
        <f t="shared" si="18"/>
        <v>35</v>
      </c>
      <c r="G343" s="457">
        <f t="shared" si="17"/>
        <v>36.22</v>
      </c>
    </row>
    <row r="344" spans="1:7">
      <c r="A344" s="313"/>
      <c r="B344" s="317" t="s">
        <v>3471</v>
      </c>
      <c r="C344" s="321" t="s">
        <v>2718</v>
      </c>
      <c r="D344" s="247">
        <v>48</v>
      </c>
      <c r="E344" s="321" t="s">
        <v>803</v>
      </c>
      <c r="F344" s="426">
        <f t="shared" si="18"/>
        <v>48</v>
      </c>
      <c r="G344" s="457">
        <f t="shared" si="17"/>
        <v>49.68</v>
      </c>
    </row>
    <row r="345" spans="1:7">
      <c r="A345" s="313"/>
      <c r="B345" s="317" t="s">
        <v>3209</v>
      </c>
      <c r="C345" s="321" t="s">
        <v>2718</v>
      </c>
      <c r="D345" s="247">
        <v>52</v>
      </c>
      <c r="E345" s="321" t="s">
        <v>803</v>
      </c>
      <c r="F345" s="426">
        <f t="shared" si="18"/>
        <v>52</v>
      </c>
      <c r="G345" s="457">
        <f t="shared" si="17"/>
        <v>53.82</v>
      </c>
    </row>
    <row r="346" spans="1:7">
      <c r="A346" s="313"/>
      <c r="B346" s="317" t="s">
        <v>3210</v>
      </c>
      <c r="C346" s="321" t="s">
        <v>2718</v>
      </c>
      <c r="D346" s="247">
        <v>58</v>
      </c>
      <c r="E346" s="321" t="s">
        <v>803</v>
      </c>
      <c r="F346" s="426">
        <f t="shared" si="18"/>
        <v>58</v>
      </c>
      <c r="G346" s="457">
        <f t="shared" si="17"/>
        <v>60.03</v>
      </c>
    </row>
    <row r="347" spans="1:7">
      <c r="A347" s="313"/>
      <c r="B347" s="317" t="s">
        <v>3211</v>
      </c>
      <c r="C347" s="321" t="s">
        <v>2718</v>
      </c>
      <c r="D347" s="247">
        <v>75</v>
      </c>
      <c r="E347" s="321" t="s">
        <v>803</v>
      </c>
      <c r="F347" s="426">
        <f t="shared" si="18"/>
        <v>75</v>
      </c>
      <c r="G347" s="457">
        <f t="shared" si="17"/>
        <v>77.62</v>
      </c>
    </row>
    <row r="348" spans="1:7">
      <c r="A348" s="313"/>
      <c r="B348" s="353" t="s">
        <v>1737</v>
      </c>
      <c r="C348" s="321"/>
      <c r="D348" s="247"/>
      <c r="E348" s="316"/>
      <c r="F348" s="427"/>
      <c r="G348" s="457">
        <f t="shared" si="17"/>
        <v>0</v>
      </c>
    </row>
    <row r="349" spans="1:7">
      <c r="A349" s="313"/>
      <c r="B349" s="284" t="s">
        <v>3212</v>
      </c>
      <c r="C349" s="321" t="s">
        <v>803</v>
      </c>
      <c r="D349" s="247">
        <v>26</v>
      </c>
      <c r="E349" s="321" t="s">
        <v>803</v>
      </c>
      <c r="F349" s="426">
        <f>D349</f>
        <v>26</v>
      </c>
      <c r="G349" s="457">
        <f t="shared" si="17"/>
        <v>26.91</v>
      </c>
    </row>
    <row r="350" spans="1:7">
      <c r="A350" s="313"/>
      <c r="B350" s="284" t="s">
        <v>3213</v>
      </c>
      <c r="C350" s="321" t="s">
        <v>2718</v>
      </c>
      <c r="D350" s="247">
        <v>45</v>
      </c>
      <c r="E350" s="321" t="s">
        <v>803</v>
      </c>
      <c r="F350" s="426">
        <f>D350</f>
        <v>45</v>
      </c>
      <c r="G350" s="457">
        <f t="shared" si="17"/>
        <v>46.57</v>
      </c>
    </row>
    <row r="351" spans="1:7">
      <c r="A351" s="340"/>
      <c r="B351" s="313" t="s">
        <v>1738</v>
      </c>
      <c r="C351" s="358"/>
      <c r="D351" s="247"/>
      <c r="E351" s="331"/>
      <c r="F351" s="438"/>
      <c r="G351" s="457">
        <f t="shared" si="17"/>
        <v>0</v>
      </c>
    </row>
    <row r="352" spans="1:7">
      <c r="A352" s="340"/>
      <c r="B352" s="353" t="s">
        <v>1734</v>
      </c>
      <c r="C352" s="358"/>
      <c r="D352" s="247"/>
      <c r="E352" s="331"/>
      <c r="F352" s="438"/>
      <c r="G352" s="457">
        <f t="shared" si="17"/>
        <v>0</v>
      </c>
    </row>
    <row r="353" spans="1:7" ht="20.25">
      <c r="A353" s="340"/>
      <c r="B353" s="359" t="s">
        <v>1739</v>
      </c>
      <c r="C353" s="321" t="s">
        <v>803</v>
      </c>
      <c r="D353" s="247">
        <v>40</v>
      </c>
      <c r="E353" s="321" t="s">
        <v>803</v>
      </c>
      <c r="F353" s="426">
        <f t="shared" ref="F353:F361" si="19">D353</f>
        <v>40</v>
      </c>
      <c r="G353" s="457">
        <f t="shared" si="17"/>
        <v>41.4</v>
      </c>
    </row>
    <row r="354" spans="1:7" ht="20.25">
      <c r="A354" s="340"/>
      <c r="B354" s="359" t="s">
        <v>1740</v>
      </c>
      <c r="C354" s="321" t="s">
        <v>2621</v>
      </c>
      <c r="D354" s="247">
        <v>45</v>
      </c>
      <c r="E354" s="321" t="s">
        <v>803</v>
      </c>
      <c r="F354" s="426">
        <f t="shared" si="19"/>
        <v>45</v>
      </c>
      <c r="G354" s="457">
        <f t="shared" si="17"/>
        <v>46.57</v>
      </c>
    </row>
    <row r="355" spans="1:7" ht="20.25">
      <c r="A355" s="340"/>
      <c r="B355" s="359" t="s">
        <v>1741</v>
      </c>
      <c r="C355" s="321" t="s">
        <v>2621</v>
      </c>
      <c r="D355" s="247">
        <v>90</v>
      </c>
      <c r="E355" s="321" t="s">
        <v>803</v>
      </c>
      <c r="F355" s="426">
        <f t="shared" si="19"/>
        <v>90</v>
      </c>
      <c r="G355" s="457">
        <f t="shared" si="17"/>
        <v>93.15</v>
      </c>
    </row>
    <row r="356" spans="1:7" ht="20.25">
      <c r="A356" s="340"/>
      <c r="B356" s="359" t="s">
        <v>1742</v>
      </c>
      <c r="C356" s="321" t="s">
        <v>2621</v>
      </c>
      <c r="D356" s="247">
        <v>40</v>
      </c>
      <c r="E356" s="321" t="s">
        <v>803</v>
      </c>
      <c r="F356" s="426">
        <f t="shared" si="19"/>
        <v>40</v>
      </c>
      <c r="G356" s="457">
        <f t="shared" si="17"/>
        <v>41.4</v>
      </c>
    </row>
    <row r="357" spans="1:7" ht="20.25">
      <c r="A357" s="340"/>
      <c r="B357" s="359" t="s">
        <v>1743</v>
      </c>
      <c r="C357" s="321" t="s">
        <v>2621</v>
      </c>
      <c r="D357" s="247">
        <v>55</v>
      </c>
      <c r="E357" s="321" t="s">
        <v>803</v>
      </c>
      <c r="F357" s="426">
        <f t="shared" si="19"/>
        <v>55</v>
      </c>
      <c r="G357" s="457">
        <f t="shared" si="17"/>
        <v>56.92</v>
      </c>
    </row>
    <row r="358" spans="1:7" ht="20.25">
      <c r="A358" s="340"/>
      <c r="B358" s="359" t="s">
        <v>1744</v>
      </c>
      <c r="C358" s="321" t="s">
        <v>2621</v>
      </c>
      <c r="D358" s="247">
        <v>80</v>
      </c>
      <c r="E358" s="321" t="s">
        <v>803</v>
      </c>
      <c r="F358" s="426">
        <f t="shared" si="19"/>
        <v>80</v>
      </c>
      <c r="G358" s="457">
        <f t="shared" si="17"/>
        <v>82.8</v>
      </c>
    </row>
    <row r="359" spans="1:7">
      <c r="A359" s="340"/>
      <c r="B359" s="359" t="s">
        <v>3214</v>
      </c>
      <c r="C359" s="321" t="s">
        <v>2621</v>
      </c>
      <c r="D359" s="247">
        <v>110</v>
      </c>
      <c r="E359" s="321" t="s">
        <v>803</v>
      </c>
      <c r="F359" s="426">
        <f t="shared" si="19"/>
        <v>110</v>
      </c>
      <c r="G359" s="457">
        <f t="shared" si="17"/>
        <v>113.85000000000001</v>
      </c>
    </row>
    <row r="360" spans="1:7">
      <c r="A360" s="340"/>
      <c r="B360" s="359" t="s">
        <v>3215</v>
      </c>
      <c r="C360" s="321" t="s">
        <v>2621</v>
      </c>
      <c r="D360" s="247">
        <v>150</v>
      </c>
      <c r="E360" s="321" t="s">
        <v>803</v>
      </c>
      <c r="F360" s="426">
        <f t="shared" si="19"/>
        <v>150</v>
      </c>
      <c r="G360" s="457">
        <f t="shared" si="17"/>
        <v>155.25</v>
      </c>
    </row>
    <row r="361" spans="1:7">
      <c r="A361" s="313"/>
      <c r="B361" s="359" t="s">
        <v>3216</v>
      </c>
      <c r="C361" s="321" t="s">
        <v>2621</v>
      </c>
      <c r="D361" s="247">
        <v>235</v>
      </c>
      <c r="E361" s="321" t="s">
        <v>803</v>
      </c>
      <c r="F361" s="426">
        <f t="shared" si="19"/>
        <v>235</v>
      </c>
      <c r="G361" s="457">
        <f t="shared" si="17"/>
        <v>243.22</v>
      </c>
    </row>
    <row r="362" spans="1:7">
      <c r="A362" s="313"/>
      <c r="B362" s="353" t="s">
        <v>1736</v>
      </c>
      <c r="C362" s="321"/>
      <c r="D362" s="247"/>
      <c r="E362" s="322"/>
      <c r="F362" s="428"/>
      <c r="G362" s="457">
        <f t="shared" si="17"/>
        <v>0</v>
      </c>
    </row>
    <row r="363" spans="1:7">
      <c r="A363" s="313"/>
      <c r="B363" s="317" t="s">
        <v>3469</v>
      </c>
      <c r="C363" s="321" t="s">
        <v>1134</v>
      </c>
      <c r="D363" s="247">
        <v>84</v>
      </c>
      <c r="E363" s="321" t="s">
        <v>803</v>
      </c>
      <c r="F363" s="426">
        <f t="shared" ref="F363:F368" si="20">D363</f>
        <v>84</v>
      </c>
      <c r="G363" s="457">
        <f t="shared" si="17"/>
        <v>86.94</v>
      </c>
    </row>
    <row r="364" spans="1:7">
      <c r="A364" s="313"/>
      <c r="B364" s="317" t="s">
        <v>3470</v>
      </c>
      <c r="C364" s="321" t="s">
        <v>1136</v>
      </c>
      <c r="D364" s="247">
        <v>112</v>
      </c>
      <c r="E364" s="321" t="s">
        <v>803</v>
      </c>
      <c r="F364" s="426">
        <f t="shared" si="20"/>
        <v>112</v>
      </c>
      <c r="G364" s="457">
        <f t="shared" si="17"/>
        <v>115.92</v>
      </c>
    </row>
    <row r="365" spans="1:7">
      <c r="A365" s="313"/>
      <c r="B365" s="317" t="s">
        <v>3471</v>
      </c>
      <c r="C365" s="321" t="s">
        <v>1130</v>
      </c>
      <c r="D365" s="247">
        <v>168</v>
      </c>
      <c r="E365" s="321" t="s">
        <v>803</v>
      </c>
      <c r="F365" s="426">
        <f t="shared" si="20"/>
        <v>168</v>
      </c>
      <c r="G365" s="457">
        <f t="shared" si="17"/>
        <v>173.88</v>
      </c>
    </row>
    <row r="366" spans="1:7">
      <c r="A366" s="313"/>
      <c r="B366" s="317" t="s">
        <v>3209</v>
      </c>
      <c r="C366" s="321" t="s">
        <v>1130</v>
      </c>
      <c r="D366" s="247">
        <v>324</v>
      </c>
      <c r="E366" s="321" t="s">
        <v>803</v>
      </c>
      <c r="F366" s="426">
        <f t="shared" si="20"/>
        <v>324</v>
      </c>
      <c r="G366" s="457">
        <f t="shared" si="17"/>
        <v>335.34000000000003</v>
      </c>
    </row>
    <row r="367" spans="1:7">
      <c r="A367" s="313"/>
      <c r="B367" s="317" t="s">
        <v>3210</v>
      </c>
      <c r="C367" s="321" t="s">
        <v>1130</v>
      </c>
      <c r="D367" s="247">
        <v>280</v>
      </c>
      <c r="E367" s="321" t="s">
        <v>803</v>
      </c>
      <c r="F367" s="426">
        <f t="shared" si="20"/>
        <v>280</v>
      </c>
      <c r="G367" s="457">
        <f t="shared" si="17"/>
        <v>289.8</v>
      </c>
    </row>
    <row r="368" spans="1:7">
      <c r="A368" s="313"/>
      <c r="B368" s="317" t="s">
        <v>3211</v>
      </c>
      <c r="C368" s="321" t="s">
        <v>2621</v>
      </c>
      <c r="D368" s="247">
        <v>336</v>
      </c>
      <c r="E368" s="321" t="s">
        <v>803</v>
      </c>
      <c r="F368" s="426">
        <f t="shared" si="20"/>
        <v>336</v>
      </c>
      <c r="G368" s="457">
        <f t="shared" si="17"/>
        <v>347.76</v>
      </c>
    </row>
    <row r="369" spans="1:7">
      <c r="A369" s="313"/>
      <c r="B369" s="353" t="s">
        <v>1737</v>
      </c>
      <c r="C369" s="321"/>
      <c r="D369" s="247"/>
      <c r="E369" s="316"/>
      <c r="F369" s="427"/>
      <c r="G369" s="457">
        <f t="shared" si="17"/>
        <v>0</v>
      </c>
    </row>
    <row r="370" spans="1:7">
      <c r="A370" s="313"/>
      <c r="B370" s="359" t="s">
        <v>3217</v>
      </c>
      <c r="C370" s="321" t="s">
        <v>803</v>
      </c>
      <c r="D370" s="247">
        <v>90</v>
      </c>
      <c r="E370" s="321" t="s">
        <v>803</v>
      </c>
      <c r="F370" s="426">
        <f>D370</f>
        <v>90</v>
      </c>
      <c r="G370" s="457">
        <f t="shared" si="17"/>
        <v>93.15</v>
      </c>
    </row>
    <row r="371" spans="1:7">
      <c r="A371" s="313"/>
      <c r="B371" s="359" t="s">
        <v>3218</v>
      </c>
      <c r="C371" s="321" t="s">
        <v>2621</v>
      </c>
      <c r="D371" s="247">
        <v>260</v>
      </c>
      <c r="E371" s="321" t="s">
        <v>803</v>
      </c>
      <c r="F371" s="426">
        <f>D371</f>
        <v>260</v>
      </c>
      <c r="G371" s="457">
        <f t="shared" si="17"/>
        <v>269.10000000000002</v>
      </c>
    </row>
    <row r="372" spans="1:7">
      <c r="A372" s="313"/>
      <c r="B372" s="359" t="s">
        <v>3219</v>
      </c>
      <c r="C372" s="321" t="s">
        <v>2621</v>
      </c>
      <c r="D372" s="247">
        <v>575</v>
      </c>
      <c r="E372" s="321" t="s">
        <v>803</v>
      </c>
      <c r="F372" s="426">
        <f>D372</f>
        <v>575</v>
      </c>
      <c r="G372" s="457">
        <f t="shared" si="17"/>
        <v>595.12</v>
      </c>
    </row>
    <row r="373" spans="1:7">
      <c r="A373" s="313"/>
      <c r="B373" s="359" t="s">
        <v>3220</v>
      </c>
      <c r="C373" s="321" t="s">
        <v>2621</v>
      </c>
      <c r="D373" s="247"/>
      <c r="E373" s="321" t="s">
        <v>803</v>
      </c>
      <c r="F373" s="426">
        <f>D373</f>
        <v>0</v>
      </c>
      <c r="G373" s="457">
        <f t="shared" si="17"/>
        <v>0</v>
      </c>
    </row>
    <row r="374" spans="1:7">
      <c r="A374" s="313"/>
      <c r="B374" s="353" t="s">
        <v>3465</v>
      </c>
      <c r="C374" s="321"/>
      <c r="D374" s="247"/>
      <c r="E374" s="316"/>
      <c r="F374" s="427"/>
      <c r="G374" s="457">
        <f t="shared" si="17"/>
        <v>0</v>
      </c>
    </row>
    <row r="375" spans="1:7">
      <c r="A375" s="313"/>
      <c r="B375" s="317" t="s">
        <v>3221</v>
      </c>
      <c r="C375" s="321" t="s">
        <v>803</v>
      </c>
      <c r="D375" s="247">
        <v>550</v>
      </c>
      <c r="E375" s="321" t="s">
        <v>803</v>
      </c>
      <c r="F375" s="427"/>
      <c r="G375" s="457">
        <f t="shared" si="17"/>
        <v>0</v>
      </c>
    </row>
    <row r="376" spans="1:7">
      <c r="A376" s="313"/>
      <c r="B376" s="317" t="s">
        <v>3222</v>
      </c>
      <c r="C376" s="321" t="s">
        <v>2621</v>
      </c>
      <c r="D376" s="247">
        <v>900</v>
      </c>
      <c r="E376" s="321" t="s">
        <v>803</v>
      </c>
      <c r="F376" s="427"/>
      <c r="G376" s="457">
        <f t="shared" si="17"/>
        <v>0</v>
      </c>
    </row>
    <row r="377" spans="1:7">
      <c r="A377" s="313"/>
      <c r="B377" s="317" t="s">
        <v>3223</v>
      </c>
      <c r="C377" s="321" t="s">
        <v>2621</v>
      </c>
      <c r="D377" s="247">
        <v>1050</v>
      </c>
      <c r="E377" s="321" t="s">
        <v>803</v>
      </c>
      <c r="F377" s="427"/>
      <c r="G377" s="457">
        <f t="shared" si="17"/>
        <v>0</v>
      </c>
    </row>
    <row r="378" spans="1:7">
      <c r="A378" s="313"/>
      <c r="B378" s="313" t="s">
        <v>3224</v>
      </c>
      <c r="C378" s="353"/>
      <c r="D378" s="247"/>
      <c r="E378" s="360"/>
      <c r="F378" s="439"/>
      <c r="G378" s="457">
        <f t="shared" si="17"/>
        <v>0</v>
      </c>
    </row>
    <row r="379" spans="1:7">
      <c r="A379" s="313"/>
      <c r="B379" s="337" t="s">
        <v>3225</v>
      </c>
      <c r="C379" s="315"/>
      <c r="D379" s="247"/>
      <c r="E379" s="344"/>
      <c r="F379" s="432"/>
      <c r="G379" s="457">
        <f t="shared" si="17"/>
        <v>0</v>
      </c>
    </row>
    <row r="380" spans="1:7">
      <c r="A380" s="313"/>
      <c r="B380" s="356" t="s">
        <v>3226</v>
      </c>
      <c r="C380" s="315" t="s">
        <v>803</v>
      </c>
      <c r="D380" s="247">
        <v>850</v>
      </c>
      <c r="E380" s="316"/>
      <c r="F380" s="432"/>
      <c r="G380" s="457">
        <f t="shared" si="17"/>
        <v>0</v>
      </c>
    </row>
    <row r="381" spans="1:7">
      <c r="A381" s="313"/>
      <c r="B381" s="356" t="s">
        <v>3227</v>
      </c>
      <c r="C381" s="315" t="s">
        <v>2621</v>
      </c>
      <c r="D381" s="247">
        <v>960</v>
      </c>
      <c r="E381" s="316"/>
      <c r="F381" s="432"/>
      <c r="G381" s="457">
        <f t="shared" si="17"/>
        <v>0</v>
      </c>
    </row>
    <row r="382" spans="1:7">
      <c r="A382" s="313"/>
      <c r="B382" s="356" t="s">
        <v>3228</v>
      </c>
      <c r="C382" s="315" t="s">
        <v>2621</v>
      </c>
      <c r="D382" s="247">
        <v>1050</v>
      </c>
      <c r="E382" s="316"/>
      <c r="F382" s="432"/>
      <c r="G382" s="457">
        <f t="shared" si="17"/>
        <v>0</v>
      </c>
    </row>
    <row r="383" spans="1:7">
      <c r="A383" s="313"/>
      <c r="B383" s="337" t="s">
        <v>3229</v>
      </c>
      <c r="C383" s="315"/>
      <c r="D383" s="247"/>
      <c r="E383" s="344"/>
      <c r="F383" s="432"/>
      <c r="G383" s="457">
        <f t="shared" si="17"/>
        <v>0</v>
      </c>
    </row>
    <row r="384" spans="1:7">
      <c r="A384" s="313"/>
      <c r="B384" s="356" t="s">
        <v>3230</v>
      </c>
      <c r="C384" s="315" t="s">
        <v>2621</v>
      </c>
      <c r="D384" s="247">
        <v>1050</v>
      </c>
      <c r="E384" s="316"/>
      <c r="F384" s="432"/>
      <c r="G384" s="457">
        <f t="shared" si="17"/>
        <v>0</v>
      </c>
    </row>
    <row r="385" spans="1:7">
      <c r="A385" s="313"/>
      <c r="B385" s="337" t="s">
        <v>3231</v>
      </c>
      <c r="C385" s="315"/>
      <c r="D385" s="247"/>
      <c r="E385" s="344"/>
      <c r="F385" s="432"/>
      <c r="G385" s="457">
        <f t="shared" si="17"/>
        <v>0</v>
      </c>
    </row>
    <row r="386" spans="1:7">
      <c r="A386" s="313"/>
      <c r="B386" s="356" t="s">
        <v>3232</v>
      </c>
      <c r="C386" s="315" t="s">
        <v>2621</v>
      </c>
      <c r="D386" s="247">
        <v>180</v>
      </c>
      <c r="E386" s="316"/>
      <c r="F386" s="432"/>
      <c r="G386" s="457">
        <f t="shared" si="17"/>
        <v>0</v>
      </c>
    </row>
    <row r="387" spans="1:7">
      <c r="A387" s="313"/>
      <c r="B387" s="356" t="s">
        <v>3230</v>
      </c>
      <c r="C387" s="315" t="s">
        <v>2621</v>
      </c>
      <c r="D387" s="247">
        <v>240</v>
      </c>
      <c r="E387" s="316"/>
      <c r="F387" s="432"/>
      <c r="G387" s="457">
        <f t="shared" si="17"/>
        <v>0</v>
      </c>
    </row>
    <row r="388" spans="1:7">
      <c r="A388" s="313"/>
      <c r="B388" s="356" t="s">
        <v>3227</v>
      </c>
      <c r="C388" s="315" t="s">
        <v>2621</v>
      </c>
      <c r="D388" s="247">
        <v>300</v>
      </c>
      <c r="E388" s="316"/>
      <c r="F388" s="432"/>
      <c r="G388" s="457">
        <f t="shared" si="17"/>
        <v>0</v>
      </c>
    </row>
    <row r="389" spans="1:7">
      <c r="A389" s="313"/>
      <c r="B389" s="337" t="s">
        <v>3233</v>
      </c>
      <c r="C389" s="315"/>
      <c r="D389" s="247"/>
      <c r="E389" s="344"/>
      <c r="F389" s="440"/>
      <c r="G389" s="457">
        <f t="shared" si="17"/>
        <v>0</v>
      </c>
    </row>
    <row r="390" spans="1:7">
      <c r="A390" s="313"/>
      <c r="B390" s="337" t="s">
        <v>3225</v>
      </c>
      <c r="C390" s="315"/>
      <c r="D390" s="247"/>
      <c r="E390" s="344"/>
      <c r="F390" s="440"/>
      <c r="G390" s="457">
        <f t="shared" si="17"/>
        <v>0</v>
      </c>
    </row>
    <row r="391" spans="1:7">
      <c r="A391" s="313"/>
      <c r="B391" s="356" t="s">
        <v>3226</v>
      </c>
      <c r="C391" s="315" t="s">
        <v>803</v>
      </c>
      <c r="D391" s="247">
        <v>750</v>
      </c>
      <c r="E391" s="316"/>
      <c r="F391" s="441"/>
      <c r="G391" s="457">
        <f t="shared" si="17"/>
        <v>0</v>
      </c>
    </row>
    <row r="392" spans="1:7">
      <c r="A392" s="313"/>
      <c r="B392" s="356" t="s">
        <v>3227</v>
      </c>
      <c r="C392" s="315" t="s">
        <v>2621</v>
      </c>
      <c r="D392" s="247">
        <v>950</v>
      </c>
      <c r="E392" s="316"/>
      <c r="F392" s="441"/>
      <c r="G392" s="457">
        <f t="shared" si="17"/>
        <v>0</v>
      </c>
    </row>
    <row r="393" spans="1:7">
      <c r="A393" s="313"/>
      <c r="B393" s="356" t="s">
        <v>3228</v>
      </c>
      <c r="C393" s="315" t="s">
        <v>2621</v>
      </c>
      <c r="D393" s="247">
        <v>1050</v>
      </c>
      <c r="E393" s="316"/>
      <c r="F393" s="441"/>
      <c r="G393" s="457">
        <f t="shared" si="17"/>
        <v>0</v>
      </c>
    </row>
    <row r="394" spans="1:7">
      <c r="A394" s="313"/>
      <c r="B394" s="337" t="s">
        <v>3229</v>
      </c>
      <c r="C394" s="315"/>
      <c r="D394" s="247"/>
      <c r="E394" s="344"/>
      <c r="F394" s="427"/>
      <c r="G394" s="457">
        <f t="shared" si="17"/>
        <v>0</v>
      </c>
    </row>
    <row r="395" spans="1:7">
      <c r="A395" s="313"/>
      <c r="B395" s="356" t="s">
        <v>3232</v>
      </c>
      <c r="C395" s="315" t="s">
        <v>2621</v>
      </c>
      <c r="D395" s="247">
        <v>200</v>
      </c>
      <c r="E395" s="316"/>
      <c r="F395" s="441"/>
      <c r="G395" s="457">
        <f t="shared" si="17"/>
        <v>0</v>
      </c>
    </row>
    <row r="396" spans="1:7">
      <c r="A396" s="313"/>
      <c r="B396" s="356" t="s">
        <v>3230</v>
      </c>
      <c r="C396" s="315" t="s">
        <v>2621</v>
      </c>
      <c r="D396" s="247">
        <v>300</v>
      </c>
      <c r="E396" s="316"/>
      <c r="F396" s="441"/>
      <c r="G396" s="457">
        <f t="shared" si="17"/>
        <v>0</v>
      </c>
    </row>
    <row r="397" spans="1:7">
      <c r="A397" s="313"/>
      <c r="B397" s="354" t="s">
        <v>3234</v>
      </c>
      <c r="C397" s="321"/>
      <c r="D397" s="247"/>
      <c r="E397" s="316"/>
      <c r="F397" s="427"/>
      <c r="G397" s="457">
        <f t="shared" ref="G397:G460" si="21">FLOOR(F397*1.035,0.01)</f>
        <v>0</v>
      </c>
    </row>
    <row r="398" spans="1:7">
      <c r="A398" s="313"/>
      <c r="B398" s="284" t="s">
        <v>3235</v>
      </c>
      <c r="C398" s="321" t="s">
        <v>803</v>
      </c>
      <c r="D398" s="247">
        <v>425</v>
      </c>
      <c r="E398" s="321" t="s">
        <v>803</v>
      </c>
      <c r="F398" s="426">
        <f>D398</f>
        <v>425</v>
      </c>
      <c r="G398" s="457">
        <f t="shared" si="21"/>
        <v>439.87</v>
      </c>
    </row>
    <row r="399" spans="1:7">
      <c r="A399" s="313"/>
      <c r="B399" s="284" t="s">
        <v>3236</v>
      </c>
      <c r="C399" s="321" t="s">
        <v>2621</v>
      </c>
      <c r="D399" s="247">
        <v>475</v>
      </c>
      <c r="E399" s="321" t="s">
        <v>803</v>
      </c>
      <c r="F399" s="426">
        <f>D399</f>
        <v>475</v>
      </c>
      <c r="G399" s="457">
        <f t="shared" si="21"/>
        <v>491.62</v>
      </c>
    </row>
    <row r="400" spans="1:7">
      <c r="A400" s="313"/>
      <c r="B400" s="284" t="s">
        <v>2873</v>
      </c>
      <c r="C400" s="321" t="s">
        <v>2621</v>
      </c>
      <c r="D400" s="247">
        <v>2150</v>
      </c>
      <c r="E400" s="321" t="s">
        <v>803</v>
      </c>
      <c r="F400" s="426">
        <f>D400</f>
        <v>2150</v>
      </c>
      <c r="G400" s="457">
        <f t="shared" si="21"/>
        <v>2225.25</v>
      </c>
    </row>
    <row r="401" spans="1:7">
      <c r="A401" s="313"/>
      <c r="B401" s="354" t="s">
        <v>2874</v>
      </c>
      <c r="C401" s="321"/>
      <c r="D401" s="247"/>
      <c r="E401" s="316"/>
      <c r="F401" s="427"/>
      <c r="G401" s="457">
        <f t="shared" si="21"/>
        <v>0</v>
      </c>
    </row>
    <row r="402" spans="1:7">
      <c r="A402" s="313"/>
      <c r="B402" s="284" t="s">
        <v>3235</v>
      </c>
      <c r="C402" s="321" t="s">
        <v>803</v>
      </c>
      <c r="D402" s="247">
        <v>475</v>
      </c>
      <c r="E402" s="321" t="s">
        <v>803</v>
      </c>
      <c r="F402" s="426">
        <f>D402</f>
        <v>475</v>
      </c>
      <c r="G402" s="457">
        <f t="shared" si="21"/>
        <v>491.62</v>
      </c>
    </row>
    <row r="403" spans="1:7">
      <c r="A403" s="313"/>
      <c r="B403" s="284" t="s">
        <v>2875</v>
      </c>
      <c r="C403" s="321" t="s">
        <v>2621</v>
      </c>
      <c r="D403" s="247">
        <v>1500</v>
      </c>
      <c r="E403" s="321" t="s">
        <v>803</v>
      </c>
      <c r="F403" s="426">
        <f>D403</f>
        <v>1500</v>
      </c>
      <c r="G403" s="457">
        <f t="shared" si="21"/>
        <v>1552.5</v>
      </c>
    </row>
    <row r="404" spans="1:7">
      <c r="A404" s="313"/>
      <c r="B404" s="354" t="s">
        <v>2876</v>
      </c>
      <c r="C404" s="321"/>
      <c r="D404" s="247"/>
      <c r="E404" s="316"/>
      <c r="F404" s="429"/>
      <c r="G404" s="457">
        <f t="shared" si="21"/>
        <v>0</v>
      </c>
    </row>
    <row r="405" spans="1:7">
      <c r="A405" s="313"/>
      <c r="B405" s="353" t="s">
        <v>2877</v>
      </c>
      <c r="C405" s="321" t="s">
        <v>1134</v>
      </c>
      <c r="D405" s="247">
        <v>15</v>
      </c>
      <c r="E405" s="321" t="s">
        <v>803</v>
      </c>
      <c r="F405" s="426">
        <f>D405</f>
        <v>15</v>
      </c>
      <c r="G405" s="457">
        <f t="shared" si="21"/>
        <v>15.52</v>
      </c>
    </row>
    <row r="406" spans="1:7">
      <c r="A406" s="313"/>
      <c r="B406" s="353" t="s">
        <v>2878</v>
      </c>
      <c r="C406" s="321"/>
      <c r="D406" s="247"/>
      <c r="E406" s="316"/>
      <c r="F406" s="429"/>
      <c r="G406" s="457">
        <f t="shared" si="21"/>
        <v>0</v>
      </c>
    </row>
    <row r="407" spans="1:7">
      <c r="A407" s="313"/>
      <c r="B407" s="359" t="s">
        <v>2879</v>
      </c>
      <c r="C407" s="321" t="s">
        <v>1134</v>
      </c>
      <c r="D407" s="247">
        <v>24</v>
      </c>
      <c r="E407" s="321" t="s">
        <v>803</v>
      </c>
      <c r="F407" s="426">
        <f>D407</f>
        <v>24</v>
      </c>
      <c r="G407" s="457">
        <f t="shared" si="21"/>
        <v>24.84</v>
      </c>
    </row>
    <row r="408" spans="1:7">
      <c r="A408" s="313"/>
      <c r="B408" s="359" t="s">
        <v>2880</v>
      </c>
      <c r="C408" s="321" t="s">
        <v>1136</v>
      </c>
      <c r="D408" s="247">
        <v>26</v>
      </c>
      <c r="E408" s="321" t="s">
        <v>803</v>
      </c>
      <c r="F408" s="426">
        <f>D408</f>
        <v>26</v>
      </c>
      <c r="G408" s="457">
        <f t="shared" si="21"/>
        <v>26.91</v>
      </c>
    </row>
    <row r="409" spans="1:7">
      <c r="A409" s="313"/>
      <c r="B409" s="359" t="s">
        <v>3217</v>
      </c>
      <c r="C409" s="321" t="s">
        <v>1130</v>
      </c>
      <c r="D409" s="247">
        <v>29</v>
      </c>
      <c r="E409" s="321" t="s">
        <v>803</v>
      </c>
      <c r="F409" s="426">
        <f>D409</f>
        <v>29</v>
      </c>
      <c r="G409" s="457">
        <f t="shared" si="21"/>
        <v>30.01</v>
      </c>
    </row>
    <row r="410" spans="1:7">
      <c r="A410" s="313"/>
      <c r="B410" s="354" t="s">
        <v>2881</v>
      </c>
      <c r="C410" s="321"/>
      <c r="D410" s="247"/>
      <c r="E410" s="346"/>
      <c r="F410" s="428"/>
      <c r="G410" s="457">
        <f t="shared" si="21"/>
        <v>0</v>
      </c>
    </row>
    <row r="411" spans="1:7">
      <c r="A411" s="313"/>
      <c r="B411" s="359" t="s">
        <v>2882</v>
      </c>
      <c r="C411" s="321" t="s">
        <v>803</v>
      </c>
      <c r="D411" s="247">
        <v>36</v>
      </c>
      <c r="E411" s="321" t="s">
        <v>803</v>
      </c>
      <c r="F411" s="426">
        <f>D411</f>
        <v>36</v>
      </c>
      <c r="G411" s="457">
        <f t="shared" si="21"/>
        <v>37.26</v>
      </c>
    </row>
    <row r="412" spans="1:7">
      <c r="A412" s="313"/>
      <c r="B412" s="359" t="s">
        <v>2883</v>
      </c>
      <c r="C412" s="321" t="s">
        <v>2621</v>
      </c>
      <c r="D412" s="247">
        <v>125</v>
      </c>
      <c r="E412" s="321" t="s">
        <v>803</v>
      </c>
      <c r="F412" s="426">
        <f>D412</f>
        <v>125</v>
      </c>
      <c r="G412" s="457">
        <f t="shared" si="21"/>
        <v>129.37</v>
      </c>
    </row>
    <row r="413" spans="1:7">
      <c r="A413" s="313"/>
      <c r="B413" s="284"/>
      <c r="C413" s="321"/>
      <c r="D413" s="247"/>
      <c r="E413" s="322"/>
      <c r="F413" s="428"/>
      <c r="G413" s="457">
        <f t="shared" si="21"/>
        <v>0</v>
      </c>
    </row>
    <row r="414" spans="1:7">
      <c r="A414" s="313"/>
      <c r="B414" s="284" t="s">
        <v>2884</v>
      </c>
      <c r="C414" s="321" t="s">
        <v>2621</v>
      </c>
      <c r="D414" s="247">
        <v>165</v>
      </c>
      <c r="E414" s="321" t="s">
        <v>803</v>
      </c>
      <c r="F414" s="426">
        <f t="shared" ref="F414:F419" si="22">D414</f>
        <v>165</v>
      </c>
      <c r="G414" s="457">
        <f t="shared" si="21"/>
        <v>170.77</v>
      </c>
    </row>
    <row r="415" spans="1:7">
      <c r="A415" s="313"/>
      <c r="B415" s="345" t="s">
        <v>2885</v>
      </c>
      <c r="C415" s="321" t="s">
        <v>2621</v>
      </c>
      <c r="D415" s="247">
        <v>358</v>
      </c>
      <c r="E415" s="321" t="s">
        <v>803</v>
      </c>
      <c r="F415" s="426">
        <f t="shared" si="22"/>
        <v>358</v>
      </c>
      <c r="G415" s="457">
        <f t="shared" si="21"/>
        <v>370.53000000000003</v>
      </c>
    </row>
    <row r="416" spans="1:7">
      <c r="A416" s="313"/>
      <c r="B416" s="345" t="s">
        <v>2886</v>
      </c>
      <c r="C416" s="321" t="s">
        <v>2621</v>
      </c>
      <c r="D416" s="247">
        <v>341</v>
      </c>
      <c r="E416" s="321" t="s">
        <v>803</v>
      </c>
      <c r="F416" s="426">
        <f t="shared" si="22"/>
        <v>341</v>
      </c>
      <c r="G416" s="457">
        <f t="shared" si="21"/>
        <v>352.93</v>
      </c>
    </row>
    <row r="417" spans="1:7">
      <c r="A417" s="313"/>
      <c r="B417" s="345" t="s">
        <v>3015</v>
      </c>
      <c r="C417" s="321" t="s">
        <v>2621</v>
      </c>
      <c r="D417" s="247">
        <v>700</v>
      </c>
      <c r="E417" s="321" t="s">
        <v>803</v>
      </c>
      <c r="F417" s="426">
        <f t="shared" si="22"/>
        <v>700</v>
      </c>
      <c r="G417" s="457">
        <f t="shared" si="21"/>
        <v>724.5</v>
      </c>
    </row>
    <row r="418" spans="1:7">
      <c r="A418" s="313"/>
      <c r="B418" s="345" t="s">
        <v>3016</v>
      </c>
      <c r="C418" s="321" t="s">
        <v>2208</v>
      </c>
      <c r="D418" s="247">
        <v>55</v>
      </c>
      <c r="E418" s="321" t="s">
        <v>2208</v>
      </c>
      <c r="F418" s="426">
        <f t="shared" si="22"/>
        <v>55</v>
      </c>
      <c r="G418" s="457">
        <f t="shared" si="21"/>
        <v>56.92</v>
      </c>
    </row>
    <row r="419" spans="1:7">
      <c r="A419" s="313"/>
      <c r="B419" s="345" t="s">
        <v>3017</v>
      </c>
      <c r="C419" s="321" t="s">
        <v>2621</v>
      </c>
      <c r="D419" s="247">
        <v>125</v>
      </c>
      <c r="E419" s="321" t="s">
        <v>2907</v>
      </c>
      <c r="F419" s="426">
        <f t="shared" si="22"/>
        <v>125</v>
      </c>
      <c r="G419" s="457">
        <f t="shared" si="21"/>
        <v>129.37</v>
      </c>
    </row>
    <row r="420" spans="1:7" ht="24.75" customHeight="1">
      <c r="A420" s="340">
        <v>29</v>
      </c>
      <c r="B420" s="314" t="s">
        <v>3018</v>
      </c>
      <c r="C420" s="321"/>
      <c r="D420" s="247"/>
      <c r="E420" s="322"/>
      <c r="F420" s="428"/>
      <c r="G420" s="457">
        <f t="shared" si="21"/>
        <v>0</v>
      </c>
    </row>
    <row r="421" spans="1:7">
      <c r="A421" s="313"/>
      <c r="B421" s="284" t="s">
        <v>3019</v>
      </c>
      <c r="C421" s="321" t="s">
        <v>3096</v>
      </c>
      <c r="D421" s="247">
        <v>110</v>
      </c>
      <c r="E421" s="321" t="s">
        <v>803</v>
      </c>
      <c r="F421" s="426">
        <v>15.71</v>
      </c>
      <c r="G421" s="457">
        <f t="shared" si="21"/>
        <v>16.25</v>
      </c>
    </row>
    <row r="422" spans="1:7">
      <c r="A422" s="313"/>
      <c r="B422" s="284" t="s">
        <v>3020</v>
      </c>
      <c r="C422" s="321" t="s">
        <v>3096</v>
      </c>
      <c r="D422" s="247">
        <v>75</v>
      </c>
      <c r="E422" s="321" t="s">
        <v>3096</v>
      </c>
      <c r="F422" s="426">
        <f>D422</f>
        <v>75</v>
      </c>
      <c r="G422" s="457">
        <f t="shared" si="21"/>
        <v>77.62</v>
      </c>
    </row>
    <row r="423" spans="1:7">
      <c r="A423" s="313"/>
      <c r="B423" s="284" t="s">
        <v>3021</v>
      </c>
      <c r="C423" s="321" t="s">
        <v>803</v>
      </c>
      <c r="D423" s="247">
        <v>19</v>
      </c>
      <c r="E423" s="321" t="s">
        <v>803</v>
      </c>
      <c r="F423" s="426">
        <f>D423</f>
        <v>19</v>
      </c>
      <c r="G423" s="457">
        <f t="shared" si="21"/>
        <v>19.66</v>
      </c>
    </row>
    <row r="424" spans="1:7">
      <c r="A424" s="313"/>
      <c r="B424" s="284" t="s">
        <v>3022</v>
      </c>
      <c r="C424" s="321" t="s">
        <v>3096</v>
      </c>
      <c r="D424" s="247">
        <v>105</v>
      </c>
      <c r="E424" s="321" t="s">
        <v>3096</v>
      </c>
      <c r="F424" s="426">
        <f>D424</f>
        <v>105</v>
      </c>
      <c r="G424" s="457">
        <f t="shared" si="21"/>
        <v>108.67</v>
      </c>
    </row>
    <row r="425" spans="1:7">
      <c r="A425" s="313"/>
      <c r="B425" s="284" t="s">
        <v>3023</v>
      </c>
      <c r="C425" s="321" t="s">
        <v>2209</v>
      </c>
      <c r="D425" s="247">
        <v>12</v>
      </c>
      <c r="E425" s="321" t="s">
        <v>1101</v>
      </c>
      <c r="F425" s="429">
        <f>FLOOR(D425*3.28,0.01)</f>
        <v>39.36</v>
      </c>
      <c r="G425" s="457">
        <f t="shared" si="21"/>
        <v>40.730000000000004</v>
      </c>
    </row>
    <row r="426" spans="1:7">
      <c r="A426" s="313"/>
      <c r="B426" s="284" t="s">
        <v>3024</v>
      </c>
      <c r="C426" s="321" t="s">
        <v>2209</v>
      </c>
      <c r="D426" s="247">
        <v>25</v>
      </c>
      <c r="E426" s="321" t="s">
        <v>1101</v>
      </c>
      <c r="F426" s="429">
        <f>FLOOR(D426*3.28,0.01)</f>
        <v>82</v>
      </c>
      <c r="G426" s="457">
        <f t="shared" si="21"/>
        <v>84.87</v>
      </c>
    </row>
    <row r="427" spans="1:7">
      <c r="A427" s="313"/>
      <c r="B427" s="284" t="s">
        <v>1745</v>
      </c>
      <c r="C427" s="321" t="s">
        <v>803</v>
      </c>
      <c r="D427" s="247">
        <v>5</v>
      </c>
      <c r="E427" s="321" t="s">
        <v>803</v>
      </c>
      <c r="F427" s="426">
        <f>D427</f>
        <v>5</v>
      </c>
      <c r="G427" s="457">
        <f t="shared" si="21"/>
        <v>5.17</v>
      </c>
    </row>
    <row r="428" spans="1:7" ht="36.75">
      <c r="A428" s="313"/>
      <c r="B428" s="317" t="s">
        <v>2908</v>
      </c>
      <c r="C428" s="321" t="s">
        <v>3025</v>
      </c>
      <c r="D428" s="247">
        <v>95</v>
      </c>
      <c r="E428" s="321" t="s">
        <v>803</v>
      </c>
      <c r="F428" s="426">
        <v>6.78</v>
      </c>
      <c r="G428" s="457">
        <f t="shared" si="21"/>
        <v>7.01</v>
      </c>
    </row>
    <row r="429" spans="1:7">
      <c r="A429" s="313"/>
      <c r="B429" s="317" t="s">
        <v>3026</v>
      </c>
      <c r="C429" s="321" t="s">
        <v>803</v>
      </c>
      <c r="D429" s="247">
        <v>4</v>
      </c>
      <c r="E429" s="321" t="s">
        <v>803</v>
      </c>
      <c r="F429" s="426">
        <f>D429</f>
        <v>4</v>
      </c>
      <c r="G429" s="457">
        <f t="shared" si="21"/>
        <v>4.1399999999999997</v>
      </c>
    </row>
    <row r="430" spans="1:7">
      <c r="A430" s="313"/>
      <c r="B430" s="317" t="s">
        <v>3027</v>
      </c>
      <c r="C430" s="321" t="s">
        <v>2232</v>
      </c>
      <c r="D430" s="247">
        <v>6</v>
      </c>
      <c r="E430" s="321" t="s">
        <v>803</v>
      </c>
      <c r="F430" s="426">
        <f>D430</f>
        <v>6</v>
      </c>
      <c r="G430" s="457">
        <f t="shared" si="21"/>
        <v>6.21</v>
      </c>
    </row>
    <row r="431" spans="1:7">
      <c r="A431" s="313"/>
      <c r="B431" s="353" t="s">
        <v>3028</v>
      </c>
      <c r="C431" s="321"/>
      <c r="D431" s="247"/>
      <c r="E431" s="322"/>
      <c r="F431" s="428"/>
      <c r="G431" s="457">
        <f t="shared" si="21"/>
        <v>0</v>
      </c>
    </row>
    <row r="432" spans="1:7">
      <c r="A432" s="313"/>
      <c r="B432" s="359" t="s">
        <v>3029</v>
      </c>
      <c r="C432" s="321"/>
      <c r="D432" s="247">
        <v>1.25</v>
      </c>
      <c r="E432" s="321" t="s">
        <v>803</v>
      </c>
      <c r="F432" s="426">
        <f>D432</f>
        <v>1.25</v>
      </c>
      <c r="G432" s="457">
        <f t="shared" si="21"/>
        <v>1.29</v>
      </c>
    </row>
    <row r="433" spans="1:7">
      <c r="A433" s="313"/>
      <c r="B433" s="359" t="s">
        <v>3030</v>
      </c>
      <c r="C433" s="321"/>
      <c r="D433" s="247">
        <v>1.75</v>
      </c>
      <c r="E433" s="321" t="s">
        <v>803</v>
      </c>
      <c r="F433" s="426">
        <f>D433</f>
        <v>1.75</v>
      </c>
      <c r="G433" s="457">
        <f t="shared" si="21"/>
        <v>1.81</v>
      </c>
    </row>
    <row r="434" spans="1:7">
      <c r="A434" s="313"/>
      <c r="B434" s="359" t="s">
        <v>3031</v>
      </c>
      <c r="C434" s="321"/>
      <c r="D434" s="247">
        <v>2.75</v>
      </c>
      <c r="E434" s="321" t="s">
        <v>803</v>
      </c>
      <c r="F434" s="426">
        <f>D434</f>
        <v>2.75</v>
      </c>
      <c r="G434" s="457">
        <f t="shared" si="21"/>
        <v>2.84</v>
      </c>
    </row>
    <row r="435" spans="1:7">
      <c r="A435" s="313"/>
      <c r="B435" s="359" t="s">
        <v>3032</v>
      </c>
      <c r="C435" s="321"/>
      <c r="D435" s="247">
        <v>8</v>
      </c>
      <c r="E435" s="321" t="s">
        <v>803</v>
      </c>
      <c r="F435" s="426">
        <f>D435</f>
        <v>8</v>
      </c>
      <c r="G435" s="457">
        <f t="shared" si="21"/>
        <v>8.2799999999999994</v>
      </c>
    </row>
    <row r="436" spans="1:7">
      <c r="A436" s="313"/>
      <c r="B436" s="359" t="s">
        <v>3033</v>
      </c>
      <c r="C436" s="321"/>
      <c r="D436" s="247">
        <v>10</v>
      </c>
      <c r="E436" s="321" t="s">
        <v>803</v>
      </c>
      <c r="F436" s="426">
        <f>D436</f>
        <v>10</v>
      </c>
      <c r="G436" s="457">
        <f t="shared" si="21"/>
        <v>10.35</v>
      </c>
    </row>
    <row r="437" spans="1:7">
      <c r="A437" s="313"/>
      <c r="B437" s="353" t="s">
        <v>3034</v>
      </c>
      <c r="C437" s="321"/>
      <c r="D437" s="247"/>
      <c r="E437" s="322"/>
      <c r="F437" s="428"/>
      <c r="G437" s="457">
        <f t="shared" si="21"/>
        <v>0</v>
      </c>
    </row>
    <row r="438" spans="1:7">
      <c r="A438" s="313"/>
      <c r="B438" s="359" t="s">
        <v>3029</v>
      </c>
      <c r="C438" s="321"/>
      <c r="D438" s="247">
        <v>0.75</v>
      </c>
      <c r="E438" s="321" t="s">
        <v>803</v>
      </c>
      <c r="F438" s="426">
        <f t="shared" ref="F438:F444" si="23">D438</f>
        <v>0.75</v>
      </c>
      <c r="G438" s="457">
        <f t="shared" si="21"/>
        <v>0.77</v>
      </c>
    </row>
    <row r="439" spans="1:7">
      <c r="A439" s="313"/>
      <c r="B439" s="359" t="s">
        <v>3030</v>
      </c>
      <c r="C439" s="321"/>
      <c r="D439" s="247">
        <v>1.25</v>
      </c>
      <c r="E439" s="321" t="s">
        <v>803</v>
      </c>
      <c r="F439" s="426">
        <f t="shared" si="23"/>
        <v>1.25</v>
      </c>
      <c r="G439" s="457">
        <f t="shared" si="21"/>
        <v>1.29</v>
      </c>
    </row>
    <row r="440" spans="1:7">
      <c r="A440" s="313"/>
      <c r="B440" s="359" t="s">
        <v>3031</v>
      </c>
      <c r="C440" s="321"/>
      <c r="D440" s="247">
        <v>1.5</v>
      </c>
      <c r="E440" s="321" t="s">
        <v>803</v>
      </c>
      <c r="F440" s="426">
        <f t="shared" si="23"/>
        <v>1.5</v>
      </c>
      <c r="G440" s="457">
        <f t="shared" si="21"/>
        <v>1.55</v>
      </c>
    </row>
    <row r="441" spans="1:7">
      <c r="A441" s="313"/>
      <c r="B441" s="359" t="s">
        <v>3032</v>
      </c>
      <c r="C441" s="321"/>
      <c r="D441" s="247">
        <v>4.75</v>
      </c>
      <c r="E441" s="321" t="s">
        <v>803</v>
      </c>
      <c r="F441" s="426">
        <f t="shared" si="23"/>
        <v>4.75</v>
      </c>
      <c r="G441" s="457">
        <f t="shared" si="21"/>
        <v>4.91</v>
      </c>
    </row>
    <row r="442" spans="1:7">
      <c r="A442" s="313"/>
      <c r="B442" s="359" t="s">
        <v>3033</v>
      </c>
      <c r="C442" s="321"/>
      <c r="D442" s="247">
        <v>5</v>
      </c>
      <c r="E442" s="321" t="s">
        <v>803</v>
      </c>
      <c r="F442" s="426">
        <f t="shared" si="23"/>
        <v>5</v>
      </c>
      <c r="G442" s="457">
        <f t="shared" si="21"/>
        <v>5.17</v>
      </c>
    </row>
    <row r="443" spans="1:7">
      <c r="A443" s="313"/>
      <c r="B443" s="333" t="s">
        <v>1746</v>
      </c>
      <c r="C443" s="321" t="s">
        <v>803</v>
      </c>
      <c r="D443" s="247">
        <v>2.5</v>
      </c>
      <c r="E443" s="321" t="s">
        <v>803</v>
      </c>
      <c r="F443" s="426">
        <f t="shared" si="23"/>
        <v>2.5</v>
      </c>
      <c r="G443" s="457">
        <f t="shared" si="21"/>
        <v>2.58</v>
      </c>
    </row>
    <row r="444" spans="1:7">
      <c r="A444" s="313"/>
      <c r="B444" s="333" t="s">
        <v>1747</v>
      </c>
      <c r="C444" s="321" t="s">
        <v>3096</v>
      </c>
      <c r="D444" s="247">
        <v>80</v>
      </c>
      <c r="E444" s="321" t="s">
        <v>3096</v>
      </c>
      <c r="F444" s="426">
        <f t="shared" si="23"/>
        <v>80</v>
      </c>
      <c r="G444" s="457">
        <f t="shared" si="21"/>
        <v>82.8</v>
      </c>
    </row>
    <row r="445" spans="1:7">
      <c r="A445" s="313"/>
      <c r="B445" s="333" t="s">
        <v>1748</v>
      </c>
      <c r="C445" s="321" t="s">
        <v>2201</v>
      </c>
      <c r="D445" s="247">
        <v>18</v>
      </c>
      <c r="E445" s="321" t="s">
        <v>2110</v>
      </c>
      <c r="F445" s="429">
        <f>FLOOR(D445*10.76,0.01)</f>
        <v>193.68</v>
      </c>
      <c r="G445" s="457">
        <f t="shared" si="21"/>
        <v>200.45000000000002</v>
      </c>
    </row>
    <row r="446" spans="1:7">
      <c r="A446" s="313"/>
      <c r="B446" s="333" t="s">
        <v>1749</v>
      </c>
      <c r="C446" s="321" t="s">
        <v>3035</v>
      </c>
      <c r="D446" s="247">
        <v>2200</v>
      </c>
      <c r="E446" s="321" t="s">
        <v>2110</v>
      </c>
      <c r="F446" s="429">
        <f>D446/20</f>
        <v>110</v>
      </c>
      <c r="G446" s="457">
        <f t="shared" si="21"/>
        <v>113.85000000000001</v>
      </c>
    </row>
    <row r="447" spans="1:7">
      <c r="A447" s="313"/>
      <c r="B447" s="333" t="s">
        <v>1750</v>
      </c>
      <c r="C447" s="321" t="s">
        <v>2232</v>
      </c>
      <c r="D447" s="247">
        <v>2150</v>
      </c>
      <c r="E447" s="321" t="s">
        <v>2110</v>
      </c>
      <c r="F447" s="429">
        <f>D447/20</f>
        <v>107.5</v>
      </c>
      <c r="G447" s="457">
        <f t="shared" si="21"/>
        <v>111.26</v>
      </c>
    </row>
    <row r="448" spans="1:7">
      <c r="A448" s="313"/>
      <c r="B448" s="361" t="s">
        <v>3036</v>
      </c>
      <c r="C448" s="362" t="s">
        <v>803</v>
      </c>
      <c r="D448" s="247">
        <v>150</v>
      </c>
      <c r="E448" s="321" t="s">
        <v>803</v>
      </c>
      <c r="F448" s="426">
        <f>D448</f>
        <v>150</v>
      </c>
      <c r="G448" s="457">
        <f t="shared" si="21"/>
        <v>155.25</v>
      </c>
    </row>
    <row r="449" spans="1:7">
      <c r="A449" s="313"/>
      <c r="B449" s="361" t="s">
        <v>2325</v>
      </c>
      <c r="C449" s="362" t="s">
        <v>3355</v>
      </c>
      <c r="D449" s="247">
        <v>300</v>
      </c>
      <c r="E449" s="321" t="s">
        <v>3355</v>
      </c>
      <c r="F449" s="426">
        <f>D449</f>
        <v>300</v>
      </c>
      <c r="G449" s="457">
        <f t="shared" si="21"/>
        <v>310.5</v>
      </c>
    </row>
    <row r="450" spans="1:7">
      <c r="A450" s="313"/>
      <c r="B450" s="361" t="s">
        <v>1783</v>
      </c>
      <c r="C450" s="362" t="s">
        <v>2718</v>
      </c>
      <c r="D450" s="247">
        <v>100</v>
      </c>
      <c r="E450" s="321" t="s">
        <v>3355</v>
      </c>
      <c r="F450" s="426">
        <f>D450</f>
        <v>100</v>
      </c>
      <c r="G450" s="457">
        <f t="shared" si="21"/>
        <v>103.5</v>
      </c>
    </row>
    <row r="451" spans="1:7">
      <c r="A451" s="313"/>
      <c r="B451" s="361" t="s">
        <v>3037</v>
      </c>
      <c r="C451" s="362" t="s">
        <v>3038</v>
      </c>
      <c r="D451" s="247">
        <v>12</v>
      </c>
      <c r="E451" s="321" t="s">
        <v>803</v>
      </c>
      <c r="F451" s="426">
        <f>D451</f>
        <v>12</v>
      </c>
      <c r="G451" s="457">
        <f t="shared" si="21"/>
        <v>12.42</v>
      </c>
    </row>
    <row r="452" spans="1:7">
      <c r="A452" s="313"/>
      <c r="B452" s="317" t="s">
        <v>3039</v>
      </c>
      <c r="C452" s="321" t="s">
        <v>3040</v>
      </c>
      <c r="D452" s="247">
        <v>195</v>
      </c>
      <c r="E452" s="321" t="s">
        <v>3040</v>
      </c>
      <c r="F452" s="429">
        <f>FLOOR(D452*35.31,0.01)</f>
        <v>6885.45</v>
      </c>
      <c r="G452" s="457">
        <f t="shared" si="21"/>
        <v>7126.4400000000005</v>
      </c>
    </row>
    <row r="453" spans="1:7">
      <c r="A453" s="313"/>
      <c r="B453" s="317" t="s">
        <v>3041</v>
      </c>
      <c r="C453" s="321" t="s">
        <v>3355</v>
      </c>
      <c r="D453" s="247">
        <v>4</v>
      </c>
      <c r="E453" s="321" t="s">
        <v>3355</v>
      </c>
      <c r="F453" s="426">
        <f>D453</f>
        <v>4</v>
      </c>
      <c r="G453" s="457">
        <f t="shared" si="21"/>
        <v>4.1399999999999997</v>
      </c>
    </row>
    <row r="454" spans="1:7">
      <c r="A454" s="313"/>
      <c r="B454" s="317" t="s">
        <v>3042</v>
      </c>
      <c r="C454" s="321" t="s">
        <v>3355</v>
      </c>
      <c r="D454" s="247">
        <v>3.6</v>
      </c>
      <c r="E454" s="321" t="s">
        <v>3355</v>
      </c>
      <c r="F454" s="426">
        <f>D454</f>
        <v>3.6</v>
      </c>
      <c r="G454" s="457">
        <f t="shared" si="21"/>
        <v>3.72</v>
      </c>
    </row>
    <row r="455" spans="1:7" ht="32.25">
      <c r="A455" s="313"/>
      <c r="B455" s="284" t="s">
        <v>3152</v>
      </c>
      <c r="C455" s="321" t="s">
        <v>803</v>
      </c>
      <c r="D455" s="247">
        <v>75</v>
      </c>
      <c r="E455" s="321" t="s">
        <v>803</v>
      </c>
      <c r="F455" s="426">
        <f>D455</f>
        <v>75</v>
      </c>
      <c r="G455" s="457">
        <f t="shared" si="21"/>
        <v>77.62</v>
      </c>
    </row>
    <row r="456" spans="1:7" ht="32.25">
      <c r="A456" s="313"/>
      <c r="B456" s="284" t="s">
        <v>3153</v>
      </c>
      <c r="C456" s="321" t="s">
        <v>803</v>
      </c>
      <c r="D456" s="247">
        <v>80</v>
      </c>
      <c r="E456" s="321" t="s">
        <v>803</v>
      </c>
      <c r="F456" s="426">
        <f>D456</f>
        <v>80</v>
      </c>
      <c r="G456" s="457">
        <f t="shared" si="21"/>
        <v>82.8</v>
      </c>
    </row>
    <row r="457" spans="1:7">
      <c r="A457" s="313"/>
      <c r="B457" s="284" t="s">
        <v>3154</v>
      </c>
      <c r="C457" s="321" t="s">
        <v>2201</v>
      </c>
      <c r="D457" s="247">
        <v>8</v>
      </c>
      <c r="E457" s="321" t="s">
        <v>2110</v>
      </c>
      <c r="F457" s="429">
        <f>FLOOR(D457*10.76,0.01)</f>
        <v>86.08</v>
      </c>
      <c r="G457" s="457">
        <f t="shared" si="21"/>
        <v>89.09</v>
      </c>
    </row>
    <row r="458" spans="1:7">
      <c r="A458" s="340">
        <v>30</v>
      </c>
      <c r="B458" s="313" t="s">
        <v>3043</v>
      </c>
      <c r="C458" s="314"/>
      <c r="D458" s="247"/>
      <c r="E458" s="325"/>
      <c r="F458" s="430">
        <f>FLOOR(D458*10.76,0.01)</f>
        <v>0</v>
      </c>
      <c r="G458" s="457">
        <f t="shared" si="21"/>
        <v>0</v>
      </c>
    </row>
    <row r="459" spans="1:7">
      <c r="A459" s="313"/>
      <c r="B459" s="357" t="s">
        <v>3044</v>
      </c>
      <c r="C459" s="321" t="s">
        <v>3045</v>
      </c>
      <c r="D459" s="247">
        <v>100</v>
      </c>
      <c r="E459" s="321" t="s">
        <v>3355</v>
      </c>
      <c r="F459" s="429">
        <v>4880</v>
      </c>
      <c r="G459" s="457">
        <f t="shared" si="21"/>
        <v>5050.8</v>
      </c>
    </row>
    <row r="460" spans="1:7">
      <c r="A460" s="313"/>
      <c r="B460" s="357" t="s">
        <v>3046</v>
      </c>
      <c r="C460" s="321" t="s">
        <v>2621</v>
      </c>
      <c r="D460" s="247">
        <v>100</v>
      </c>
      <c r="E460" s="321" t="s">
        <v>3355</v>
      </c>
      <c r="F460" s="429">
        <f>D460/25</f>
        <v>4</v>
      </c>
      <c r="G460" s="457">
        <f t="shared" si="21"/>
        <v>4.1399999999999997</v>
      </c>
    </row>
    <row r="461" spans="1:7">
      <c r="A461" s="313"/>
      <c r="B461" s="357" t="s">
        <v>3047</v>
      </c>
      <c r="C461" s="321" t="s">
        <v>2621</v>
      </c>
      <c r="D461" s="247">
        <v>110</v>
      </c>
      <c r="E461" s="321" t="s">
        <v>2110</v>
      </c>
      <c r="F461" s="429">
        <f>D461/6</f>
        <v>18.333333333333332</v>
      </c>
      <c r="G461" s="457">
        <f t="shared" ref="G461:G524" si="24">FLOOR(F461*1.035,0.01)</f>
        <v>18.97</v>
      </c>
    </row>
    <row r="462" spans="1:7">
      <c r="A462" s="313"/>
      <c r="B462" s="357" t="s">
        <v>3048</v>
      </c>
      <c r="C462" s="321" t="s">
        <v>3049</v>
      </c>
      <c r="D462" s="247">
        <v>90</v>
      </c>
      <c r="E462" s="321" t="s">
        <v>3355</v>
      </c>
      <c r="F462" s="429">
        <f>D462/25</f>
        <v>3.6</v>
      </c>
      <c r="G462" s="457">
        <f t="shared" si="24"/>
        <v>3.72</v>
      </c>
    </row>
    <row r="463" spans="1:7" ht="37.5">
      <c r="A463" s="340">
        <v>31</v>
      </c>
      <c r="B463" s="313" t="s">
        <v>3050</v>
      </c>
      <c r="C463" s="314"/>
      <c r="D463" s="247"/>
      <c r="E463" s="325"/>
      <c r="F463" s="430"/>
      <c r="G463" s="457">
        <f t="shared" si="24"/>
        <v>0</v>
      </c>
    </row>
    <row r="464" spans="1:7">
      <c r="A464" s="313"/>
      <c r="B464" s="314" t="s">
        <v>3051</v>
      </c>
      <c r="C464" s="363"/>
      <c r="D464" s="247"/>
      <c r="E464" s="324"/>
      <c r="F464" s="430"/>
      <c r="G464" s="457">
        <f t="shared" si="24"/>
        <v>0</v>
      </c>
    </row>
    <row r="465" spans="1:7">
      <c r="A465" s="313"/>
      <c r="B465" s="357" t="s">
        <v>3155</v>
      </c>
      <c r="C465" s="321" t="s">
        <v>2201</v>
      </c>
      <c r="D465" s="247">
        <v>48</v>
      </c>
      <c r="E465" s="321" t="s">
        <v>2110</v>
      </c>
      <c r="F465" s="429">
        <f t="shared" ref="F465:F477" si="25">FLOOR(D465*10.76,0.01)</f>
        <v>516.48</v>
      </c>
      <c r="G465" s="457">
        <f t="shared" si="24"/>
        <v>534.54999999999995</v>
      </c>
    </row>
    <row r="466" spans="1:7">
      <c r="A466" s="313"/>
      <c r="B466" s="357" t="s">
        <v>3156</v>
      </c>
      <c r="C466" s="321" t="s">
        <v>1130</v>
      </c>
      <c r="D466" s="247">
        <v>57</v>
      </c>
      <c r="E466" s="321" t="s">
        <v>2110</v>
      </c>
      <c r="F466" s="429">
        <f t="shared" si="25"/>
        <v>613.32000000000005</v>
      </c>
      <c r="G466" s="457">
        <f t="shared" si="24"/>
        <v>634.78</v>
      </c>
    </row>
    <row r="467" spans="1:7">
      <c r="A467" s="313"/>
      <c r="B467" s="357" t="s">
        <v>3157</v>
      </c>
      <c r="C467" s="321" t="s">
        <v>1130</v>
      </c>
      <c r="D467" s="247">
        <v>76</v>
      </c>
      <c r="E467" s="321" t="s">
        <v>2110</v>
      </c>
      <c r="F467" s="429">
        <f t="shared" si="25"/>
        <v>817.76</v>
      </c>
      <c r="G467" s="457">
        <f t="shared" si="24"/>
        <v>846.38</v>
      </c>
    </row>
    <row r="468" spans="1:7">
      <c r="A468" s="313"/>
      <c r="B468" s="357" t="s">
        <v>3158</v>
      </c>
      <c r="C468" s="321" t="s">
        <v>1130</v>
      </c>
      <c r="D468" s="247">
        <v>76</v>
      </c>
      <c r="E468" s="321" t="s">
        <v>2110</v>
      </c>
      <c r="F468" s="429">
        <f t="shared" si="25"/>
        <v>817.76</v>
      </c>
      <c r="G468" s="457">
        <f t="shared" si="24"/>
        <v>846.38</v>
      </c>
    </row>
    <row r="469" spans="1:7">
      <c r="A469" s="313"/>
      <c r="B469" s="357" t="s">
        <v>3052</v>
      </c>
      <c r="C469" s="321" t="s">
        <v>1130</v>
      </c>
      <c r="D469" s="247">
        <v>76</v>
      </c>
      <c r="E469" s="321" t="s">
        <v>2110</v>
      </c>
      <c r="F469" s="429">
        <f t="shared" si="25"/>
        <v>817.76</v>
      </c>
      <c r="G469" s="457">
        <f t="shared" si="24"/>
        <v>846.38</v>
      </c>
    </row>
    <row r="470" spans="1:7">
      <c r="A470" s="313"/>
      <c r="B470" s="357" t="s">
        <v>3159</v>
      </c>
      <c r="C470" s="321" t="s">
        <v>1130</v>
      </c>
      <c r="D470" s="247">
        <v>81</v>
      </c>
      <c r="E470" s="321" t="s">
        <v>2110</v>
      </c>
      <c r="F470" s="429">
        <f t="shared" si="25"/>
        <v>871.56000000000006</v>
      </c>
      <c r="G470" s="457">
        <f t="shared" si="24"/>
        <v>902.06000000000006</v>
      </c>
    </row>
    <row r="471" spans="1:7">
      <c r="A471" s="313"/>
      <c r="B471" s="357" t="s">
        <v>3160</v>
      </c>
      <c r="C471" s="321" t="s">
        <v>1130</v>
      </c>
      <c r="D471" s="247">
        <v>81</v>
      </c>
      <c r="E471" s="321" t="s">
        <v>2110</v>
      </c>
      <c r="F471" s="429">
        <f t="shared" si="25"/>
        <v>871.56000000000006</v>
      </c>
      <c r="G471" s="457">
        <f t="shared" si="24"/>
        <v>902.06000000000006</v>
      </c>
    </row>
    <row r="472" spans="1:7">
      <c r="A472" s="313"/>
      <c r="B472" s="357" t="s">
        <v>3161</v>
      </c>
      <c r="C472" s="321" t="s">
        <v>1130</v>
      </c>
      <c r="D472" s="247">
        <v>81</v>
      </c>
      <c r="E472" s="321" t="s">
        <v>2110</v>
      </c>
      <c r="F472" s="429">
        <f t="shared" si="25"/>
        <v>871.56000000000006</v>
      </c>
      <c r="G472" s="457">
        <f t="shared" si="24"/>
        <v>902.06000000000006</v>
      </c>
    </row>
    <row r="473" spans="1:7">
      <c r="A473" s="313"/>
      <c r="B473" s="357" t="s">
        <v>3162</v>
      </c>
      <c r="C473" s="321" t="s">
        <v>1130</v>
      </c>
      <c r="D473" s="247">
        <v>94</v>
      </c>
      <c r="E473" s="321" t="s">
        <v>2110</v>
      </c>
      <c r="F473" s="429">
        <f t="shared" si="25"/>
        <v>1011.44</v>
      </c>
      <c r="G473" s="457">
        <f t="shared" si="24"/>
        <v>1046.8399999999999</v>
      </c>
    </row>
    <row r="474" spans="1:7">
      <c r="A474" s="313"/>
      <c r="B474" s="357" t="s">
        <v>2183</v>
      </c>
      <c r="C474" s="321" t="s">
        <v>1130</v>
      </c>
      <c r="D474" s="247">
        <v>113</v>
      </c>
      <c r="E474" s="321" t="s">
        <v>2110</v>
      </c>
      <c r="F474" s="429">
        <f t="shared" si="25"/>
        <v>1215.8800000000001</v>
      </c>
      <c r="G474" s="457">
        <f t="shared" si="24"/>
        <v>1258.43</v>
      </c>
    </row>
    <row r="475" spans="1:7">
      <c r="A475" s="313"/>
      <c r="B475" s="357" t="s">
        <v>2184</v>
      </c>
      <c r="C475" s="321" t="s">
        <v>1130</v>
      </c>
      <c r="D475" s="247">
        <v>120</v>
      </c>
      <c r="E475" s="321" t="s">
        <v>2110</v>
      </c>
      <c r="F475" s="429">
        <f t="shared" si="25"/>
        <v>1291.2</v>
      </c>
      <c r="G475" s="457">
        <f t="shared" si="24"/>
        <v>1336.39</v>
      </c>
    </row>
    <row r="476" spans="1:7">
      <c r="A476" s="313"/>
      <c r="B476" s="357" t="s">
        <v>2185</v>
      </c>
      <c r="C476" s="321" t="s">
        <v>1130</v>
      </c>
      <c r="D476" s="247">
        <v>143</v>
      </c>
      <c r="E476" s="321" t="s">
        <v>2110</v>
      </c>
      <c r="F476" s="429">
        <f t="shared" si="25"/>
        <v>1538.68</v>
      </c>
      <c r="G476" s="457">
        <f t="shared" si="24"/>
        <v>1592.53</v>
      </c>
    </row>
    <row r="477" spans="1:7">
      <c r="A477" s="313"/>
      <c r="B477" s="357" t="s">
        <v>1464</v>
      </c>
      <c r="C477" s="321" t="s">
        <v>1130</v>
      </c>
      <c r="D477" s="247">
        <v>160</v>
      </c>
      <c r="E477" s="321" t="s">
        <v>2110</v>
      </c>
      <c r="F477" s="429">
        <f t="shared" si="25"/>
        <v>1721.6000000000001</v>
      </c>
      <c r="G477" s="457">
        <f t="shared" si="24"/>
        <v>1781.8500000000001</v>
      </c>
    </row>
    <row r="478" spans="1:7">
      <c r="A478" s="313"/>
      <c r="B478" s="314" t="s">
        <v>3053</v>
      </c>
      <c r="C478" s="321"/>
      <c r="D478" s="247"/>
      <c r="E478" s="316"/>
      <c r="F478" s="428"/>
      <c r="G478" s="457">
        <f t="shared" si="24"/>
        <v>0</v>
      </c>
    </row>
    <row r="479" spans="1:7">
      <c r="A479" s="313"/>
      <c r="B479" s="357" t="s">
        <v>3155</v>
      </c>
      <c r="C479" s="321" t="s">
        <v>2201</v>
      </c>
      <c r="D479" s="247">
        <v>36</v>
      </c>
      <c r="E479" s="321" t="s">
        <v>2110</v>
      </c>
      <c r="F479" s="429">
        <f t="shared" ref="F479:F491" si="26">FLOOR(D479*10.76,0.01)</f>
        <v>387.36</v>
      </c>
      <c r="G479" s="457">
        <f t="shared" si="24"/>
        <v>400.91</v>
      </c>
    </row>
    <row r="480" spans="1:7">
      <c r="A480" s="313"/>
      <c r="B480" s="357" t="s">
        <v>3156</v>
      </c>
      <c r="C480" s="321" t="s">
        <v>1130</v>
      </c>
      <c r="D480" s="247">
        <v>38</v>
      </c>
      <c r="E480" s="321" t="s">
        <v>2110</v>
      </c>
      <c r="F480" s="429">
        <f t="shared" si="26"/>
        <v>408.88</v>
      </c>
      <c r="G480" s="457">
        <f t="shared" si="24"/>
        <v>423.19</v>
      </c>
    </row>
    <row r="481" spans="1:7">
      <c r="A481" s="313"/>
      <c r="B481" s="357" t="s">
        <v>3157</v>
      </c>
      <c r="C481" s="321" t="s">
        <v>1130</v>
      </c>
      <c r="D481" s="247">
        <v>44</v>
      </c>
      <c r="E481" s="321" t="s">
        <v>2110</v>
      </c>
      <c r="F481" s="429">
        <f t="shared" si="26"/>
        <v>473.44</v>
      </c>
      <c r="G481" s="457">
        <f t="shared" si="24"/>
        <v>490.01</v>
      </c>
    </row>
    <row r="482" spans="1:7">
      <c r="A482" s="313"/>
      <c r="B482" s="357" t="s">
        <v>3158</v>
      </c>
      <c r="C482" s="321" t="s">
        <v>1130</v>
      </c>
      <c r="D482" s="247">
        <v>44</v>
      </c>
      <c r="E482" s="321" t="s">
        <v>2110</v>
      </c>
      <c r="F482" s="429">
        <f t="shared" si="26"/>
        <v>473.44</v>
      </c>
      <c r="G482" s="457">
        <f t="shared" si="24"/>
        <v>490.01</v>
      </c>
    </row>
    <row r="483" spans="1:7">
      <c r="A483" s="313"/>
      <c r="B483" s="357" t="s">
        <v>3052</v>
      </c>
      <c r="C483" s="321" t="s">
        <v>1130</v>
      </c>
      <c r="D483" s="247">
        <v>44</v>
      </c>
      <c r="E483" s="321" t="s">
        <v>2110</v>
      </c>
      <c r="F483" s="429">
        <f t="shared" si="26"/>
        <v>473.44</v>
      </c>
      <c r="G483" s="457">
        <f t="shared" si="24"/>
        <v>490.01</v>
      </c>
    </row>
    <row r="484" spans="1:7">
      <c r="A484" s="313"/>
      <c r="B484" s="357" t="s">
        <v>3159</v>
      </c>
      <c r="C484" s="321" t="s">
        <v>1130</v>
      </c>
      <c r="D484" s="247">
        <v>49</v>
      </c>
      <c r="E484" s="321" t="s">
        <v>2110</v>
      </c>
      <c r="F484" s="429">
        <f t="shared" si="26"/>
        <v>527.24</v>
      </c>
      <c r="G484" s="457">
        <f t="shared" si="24"/>
        <v>545.69000000000005</v>
      </c>
    </row>
    <row r="485" spans="1:7">
      <c r="A485" s="313"/>
      <c r="B485" s="357" t="s">
        <v>3160</v>
      </c>
      <c r="C485" s="321" t="s">
        <v>1130</v>
      </c>
      <c r="D485" s="247">
        <v>49</v>
      </c>
      <c r="E485" s="321" t="s">
        <v>2110</v>
      </c>
      <c r="F485" s="429">
        <f t="shared" si="26"/>
        <v>527.24</v>
      </c>
      <c r="G485" s="457">
        <f t="shared" si="24"/>
        <v>545.69000000000005</v>
      </c>
    </row>
    <row r="486" spans="1:7">
      <c r="A486" s="313"/>
      <c r="B486" s="357" t="s">
        <v>3161</v>
      </c>
      <c r="C486" s="321" t="s">
        <v>1130</v>
      </c>
      <c r="D486" s="247">
        <v>49</v>
      </c>
      <c r="E486" s="321" t="s">
        <v>2110</v>
      </c>
      <c r="F486" s="429">
        <f t="shared" si="26"/>
        <v>527.24</v>
      </c>
      <c r="G486" s="457">
        <f t="shared" si="24"/>
        <v>545.69000000000005</v>
      </c>
    </row>
    <row r="487" spans="1:7">
      <c r="A487" s="313"/>
      <c r="B487" s="357" t="s">
        <v>3162</v>
      </c>
      <c r="C487" s="321" t="s">
        <v>1130</v>
      </c>
      <c r="D487" s="247">
        <v>54</v>
      </c>
      <c r="E487" s="321" t="s">
        <v>2110</v>
      </c>
      <c r="F487" s="429">
        <f t="shared" si="26"/>
        <v>581.04</v>
      </c>
      <c r="G487" s="457">
        <f t="shared" si="24"/>
        <v>601.37</v>
      </c>
    </row>
    <row r="488" spans="1:7">
      <c r="A488" s="313"/>
      <c r="B488" s="357" t="s">
        <v>2183</v>
      </c>
      <c r="C488" s="321" t="s">
        <v>1130</v>
      </c>
      <c r="D488" s="247">
        <v>62</v>
      </c>
      <c r="E488" s="321" t="s">
        <v>2110</v>
      </c>
      <c r="F488" s="429">
        <f t="shared" si="26"/>
        <v>667.12</v>
      </c>
      <c r="G488" s="457">
        <f t="shared" si="24"/>
        <v>690.46</v>
      </c>
    </row>
    <row r="489" spans="1:7">
      <c r="A489" s="313"/>
      <c r="B489" s="357" t="s">
        <v>2184</v>
      </c>
      <c r="C489" s="321" t="s">
        <v>1130</v>
      </c>
      <c r="D489" s="247">
        <v>67</v>
      </c>
      <c r="E489" s="321" t="s">
        <v>2110</v>
      </c>
      <c r="F489" s="429">
        <f t="shared" si="26"/>
        <v>720.92</v>
      </c>
      <c r="G489" s="457">
        <f t="shared" si="24"/>
        <v>746.15</v>
      </c>
    </row>
    <row r="490" spans="1:7">
      <c r="A490" s="313"/>
      <c r="B490" s="357" t="s">
        <v>2185</v>
      </c>
      <c r="C490" s="321" t="s">
        <v>1130</v>
      </c>
      <c r="D490" s="247">
        <v>81</v>
      </c>
      <c r="E490" s="321" t="s">
        <v>2110</v>
      </c>
      <c r="F490" s="429">
        <f t="shared" si="26"/>
        <v>871.56000000000006</v>
      </c>
      <c r="G490" s="457">
        <f t="shared" si="24"/>
        <v>902.06000000000006</v>
      </c>
    </row>
    <row r="491" spans="1:7">
      <c r="A491" s="313"/>
      <c r="B491" s="357" t="s">
        <v>1464</v>
      </c>
      <c r="C491" s="321" t="s">
        <v>1130</v>
      </c>
      <c r="D491" s="247">
        <v>87</v>
      </c>
      <c r="E491" s="321" t="s">
        <v>2110</v>
      </c>
      <c r="F491" s="429">
        <f t="shared" si="26"/>
        <v>936.12</v>
      </c>
      <c r="G491" s="457">
        <f t="shared" si="24"/>
        <v>968.88</v>
      </c>
    </row>
    <row r="492" spans="1:7">
      <c r="A492" s="340">
        <v>32</v>
      </c>
      <c r="B492" s="340" t="s">
        <v>3054</v>
      </c>
      <c r="C492" s="321"/>
      <c r="D492" s="247"/>
      <c r="E492" s="322"/>
      <c r="F492" s="428"/>
      <c r="G492" s="457">
        <f t="shared" si="24"/>
        <v>0</v>
      </c>
    </row>
    <row r="493" spans="1:7">
      <c r="A493" s="313"/>
      <c r="B493" s="317" t="s">
        <v>3055</v>
      </c>
      <c r="C493" s="321" t="s">
        <v>3056</v>
      </c>
      <c r="D493" s="247">
        <v>125</v>
      </c>
      <c r="E493" s="321" t="s">
        <v>2110</v>
      </c>
      <c r="F493" s="429">
        <f>FLOOR(D493*10.76,0.01)</f>
        <v>1345</v>
      </c>
      <c r="G493" s="457">
        <f t="shared" si="24"/>
        <v>1392.07</v>
      </c>
    </row>
    <row r="494" spans="1:7">
      <c r="A494" s="313"/>
      <c r="B494" s="317" t="s">
        <v>1465</v>
      </c>
      <c r="C494" s="321" t="s">
        <v>3056</v>
      </c>
      <c r="D494" s="247">
        <v>125</v>
      </c>
      <c r="E494" s="321" t="s">
        <v>2110</v>
      </c>
      <c r="F494" s="429">
        <f>FLOOR(D494*10.76,0.01)</f>
        <v>1345</v>
      </c>
      <c r="G494" s="457">
        <f t="shared" si="24"/>
        <v>1392.07</v>
      </c>
    </row>
    <row r="495" spans="1:7">
      <c r="A495" s="313"/>
      <c r="B495" s="317" t="s">
        <v>3057</v>
      </c>
      <c r="C495" s="321" t="s">
        <v>3056</v>
      </c>
      <c r="D495" s="247">
        <v>255</v>
      </c>
      <c r="E495" s="321" t="s">
        <v>2110</v>
      </c>
      <c r="F495" s="429">
        <f>FLOOR(D495*10.76,0.01)</f>
        <v>2743.8</v>
      </c>
      <c r="G495" s="457">
        <f t="shared" si="24"/>
        <v>2839.83</v>
      </c>
    </row>
    <row r="496" spans="1:7">
      <c r="A496" s="313"/>
      <c r="B496" s="317" t="s">
        <v>3058</v>
      </c>
      <c r="C496" s="321" t="s">
        <v>3056</v>
      </c>
      <c r="D496" s="247">
        <v>290</v>
      </c>
      <c r="E496" s="321" t="s">
        <v>2110</v>
      </c>
      <c r="F496" s="429">
        <f>FLOOR(D496*10.76,0.01)</f>
        <v>3120.4</v>
      </c>
      <c r="G496" s="457">
        <f t="shared" si="24"/>
        <v>3229.61</v>
      </c>
    </row>
    <row r="497" spans="1:7" ht="37.5">
      <c r="A497" s="340">
        <v>33</v>
      </c>
      <c r="B497" s="313" t="s">
        <v>3059</v>
      </c>
      <c r="C497" s="321"/>
      <c r="D497" s="247"/>
      <c r="E497" s="322"/>
      <c r="F497" s="428"/>
      <c r="G497" s="457">
        <f t="shared" si="24"/>
        <v>0</v>
      </c>
    </row>
    <row r="498" spans="1:7">
      <c r="A498" s="340"/>
      <c r="B498" s="284" t="s">
        <v>3060</v>
      </c>
      <c r="C498" s="321" t="s">
        <v>3056</v>
      </c>
      <c r="D498" s="247"/>
      <c r="E498" s="321" t="s">
        <v>2110</v>
      </c>
      <c r="F498" s="429">
        <f>FLOOR(D498*10.76,0.01)</f>
        <v>0</v>
      </c>
      <c r="G498" s="457">
        <f t="shared" si="24"/>
        <v>0</v>
      </c>
    </row>
    <row r="499" spans="1:7" ht="23.25">
      <c r="A499" s="340"/>
      <c r="B499" s="353" t="s">
        <v>3061</v>
      </c>
      <c r="C499" s="321"/>
      <c r="D499" s="247"/>
      <c r="E499" s="322"/>
      <c r="F499" s="442"/>
      <c r="G499" s="457">
        <f t="shared" si="24"/>
        <v>0</v>
      </c>
    </row>
    <row r="500" spans="1:7">
      <c r="A500" s="340"/>
      <c r="B500" s="357" t="s">
        <v>1466</v>
      </c>
      <c r="C500" s="321" t="s">
        <v>3056</v>
      </c>
      <c r="D500" s="247">
        <v>35</v>
      </c>
      <c r="E500" s="321" t="s">
        <v>2110</v>
      </c>
      <c r="F500" s="429">
        <f t="shared" ref="F500:F506" si="27">FLOOR(D500*10.76,0.01)</f>
        <v>376.6</v>
      </c>
      <c r="G500" s="457">
        <f t="shared" si="24"/>
        <v>389.78000000000003</v>
      </c>
    </row>
    <row r="501" spans="1:7">
      <c r="A501" s="340"/>
      <c r="B501" s="357" t="s">
        <v>1467</v>
      </c>
      <c r="C501" s="321" t="s">
        <v>3056</v>
      </c>
      <c r="D501" s="247">
        <v>50</v>
      </c>
      <c r="E501" s="321" t="s">
        <v>2110</v>
      </c>
      <c r="F501" s="429">
        <f t="shared" si="27"/>
        <v>538</v>
      </c>
      <c r="G501" s="457">
        <f t="shared" si="24"/>
        <v>556.83000000000004</v>
      </c>
    </row>
    <row r="502" spans="1:7">
      <c r="A502" s="340"/>
      <c r="B502" s="284" t="s">
        <v>1468</v>
      </c>
      <c r="C502" s="321" t="s">
        <v>2209</v>
      </c>
      <c r="D502" s="247">
        <v>30</v>
      </c>
      <c r="E502" s="321" t="s">
        <v>1101</v>
      </c>
      <c r="F502" s="429">
        <f t="shared" si="27"/>
        <v>322.8</v>
      </c>
      <c r="G502" s="457">
        <f t="shared" si="24"/>
        <v>334.09000000000003</v>
      </c>
    </row>
    <row r="503" spans="1:7">
      <c r="A503" s="313"/>
      <c r="B503" s="284" t="s">
        <v>1468</v>
      </c>
      <c r="C503" s="321" t="s">
        <v>2201</v>
      </c>
      <c r="D503" s="247">
        <v>140</v>
      </c>
      <c r="E503" s="321" t="s">
        <v>2110</v>
      </c>
      <c r="F503" s="429">
        <f t="shared" si="27"/>
        <v>1506.4</v>
      </c>
      <c r="G503" s="457">
        <f t="shared" si="24"/>
        <v>1559.1200000000001</v>
      </c>
    </row>
    <row r="504" spans="1:7">
      <c r="A504" s="313"/>
      <c r="B504" s="284" t="s">
        <v>3062</v>
      </c>
      <c r="C504" s="321" t="s">
        <v>2201</v>
      </c>
      <c r="D504" s="247"/>
      <c r="E504" s="321" t="s">
        <v>2110</v>
      </c>
      <c r="F504" s="429">
        <f t="shared" si="27"/>
        <v>0</v>
      </c>
      <c r="G504" s="457">
        <f t="shared" si="24"/>
        <v>0</v>
      </c>
    </row>
    <row r="505" spans="1:7">
      <c r="A505" s="313"/>
      <c r="B505" s="284" t="s">
        <v>3063</v>
      </c>
      <c r="C505" s="321" t="s">
        <v>2201</v>
      </c>
      <c r="D505" s="247"/>
      <c r="E505" s="321" t="s">
        <v>2110</v>
      </c>
      <c r="F505" s="429">
        <f t="shared" si="27"/>
        <v>0</v>
      </c>
      <c r="G505" s="457">
        <f t="shared" si="24"/>
        <v>0</v>
      </c>
    </row>
    <row r="506" spans="1:7">
      <c r="A506" s="313"/>
      <c r="B506" s="284" t="s">
        <v>3064</v>
      </c>
      <c r="C506" s="321" t="s">
        <v>2201</v>
      </c>
      <c r="D506" s="247"/>
      <c r="E506" s="321" t="s">
        <v>2110</v>
      </c>
      <c r="F506" s="429">
        <f t="shared" si="27"/>
        <v>0</v>
      </c>
      <c r="G506" s="457">
        <f t="shared" si="24"/>
        <v>0</v>
      </c>
    </row>
    <row r="507" spans="1:7">
      <c r="A507" s="340">
        <v>34</v>
      </c>
      <c r="B507" s="314" t="s">
        <v>3065</v>
      </c>
      <c r="C507" s="364"/>
      <c r="D507" s="247"/>
      <c r="E507" s="322"/>
      <c r="F507" s="428"/>
      <c r="G507" s="457">
        <f t="shared" si="24"/>
        <v>0</v>
      </c>
    </row>
    <row r="508" spans="1:7">
      <c r="A508" s="313"/>
      <c r="B508" s="317" t="s">
        <v>3066</v>
      </c>
      <c r="C508" s="321" t="s">
        <v>3355</v>
      </c>
      <c r="D508" s="247">
        <v>15</v>
      </c>
      <c r="E508" s="321" t="s">
        <v>3355</v>
      </c>
      <c r="F508" s="436">
        <f t="shared" ref="F508:F541" si="28">D508</f>
        <v>15</v>
      </c>
      <c r="G508" s="457">
        <f t="shared" si="24"/>
        <v>15.52</v>
      </c>
    </row>
    <row r="509" spans="1:7">
      <c r="A509" s="313"/>
      <c r="B509" s="317" t="s">
        <v>3067</v>
      </c>
      <c r="C509" s="321" t="s">
        <v>2232</v>
      </c>
      <c r="D509" s="247">
        <v>15</v>
      </c>
      <c r="E509" s="321" t="s">
        <v>3355</v>
      </c>
      <c r="F509" s="436">
        <f t="shared" si="28"/>
        <v>15</v>
      </c>
      <c r="G509" s="457">
        <f t="shared" si="24"/>
        <v>15.52</v>
      </c>
    </row>
    <row r="510" spans="1:7">
      <c r="A510" s="313"/>
      <c r="B510" s="317" t="s">
        <v>3068</v>
      </c>
      <c r="C510" s="321" t="s">
        <v>2232</v>
      </c>
      <c r="D510" s="247">
        <v>20</v>
      </c>
      <c r="E510" s="321" t="s">
        <v>3355</v>
      </c>
      <c r="F510" s="436">
        <f t="shared" si="28"/>
        <v>20</v>
      </c>
      <c r="G510" s="457">
        <f t="shared" si="24"/>
        <v>20.7</v>
      </c>
    </row>
    <row r="511" spans="1:7">
      <c r="A511" s="313"/>
      <c r="B511" s="317" t="s">
        <v>2210</v>
      </c>
      <c r="C511" s="321" t="s">
        <v>3355</v>
      </c>
      <c r="D511" s="247">
        <v>45</v>
      </c>
      <c r="E511" s="321" t="s">
        <v>3355</v>
      </c>
      <c r="F511" s="436">
        <f t="shared" si="28"/>
        <v>45</v>
      </c>
      <c r="G511" s="457">
        <f t="shared" si="24"/>
        <v>46.57</v>
      </c>
    </row>
    <row r="512" spans="1:7">
      <c r="A512" s="313"/>
      <c r="B512" s="317" t="s">
        <v>3069</v>
      </c>
      <c r="C512" s="321" t="s">
        <v>3070</v>
      </c>
      <c r="D512" s="247">
        <v>360</v>
      </c>
      <c r="E512" s="321" t="s">
        <v>3070</v>
      </c>
      <c r="F512" s="436">
        <f t="shared" si="28"/>
        <v>360</v>
      </c>
      <c r="G512" s="457">
        <f t="shared" si="24"/>
        <v>372.6</v>
      </c>
    </row>
    <row r="513" spans="1:7">
      <c r="A513" s="313"/>
      <c r="B513" s="317" t="s">
        <v>3071</v>
      </c>
      <c r="C513" s="321" t="s">
        <v>3070</v>
      </c>
      <c r="D513" s="247">
        <v>390</v>
      </c>
      <c r="E513" s="321" t="s">
        <v>3070</v>
      </c>
      <c r="F513" s="436">
        <f t="shared" si="28"/>
        <v>390</v>
      </c>
      <c r="G513" s="457">
        <f t="shared" si="24"/>
        <v>403.65000000000003</v>
      </c>
    </row>
    <row r="514" spans="1:7">
      <c r="A514" s="313"/>
      <c r="B514" s="317" t="s">
        <v>2211</v>
      </c>
      <c r="C514" s="321" t="s">
        <v>3070</v>
      </c>
      <c r="D514" s="247">
        <v>275</v>
      </c>
      <c r="E514" s="321" t="s">
        <v>3070</v>
      </c>
      <c r="F514" s="436">
        <f t="shared" si="28"/>
        <v>275</v>
      </c>
      <c r="G514" s="457">
        <f t="shared" si="24"/>
        <v>284.62</v>
      </c>
    </row>
    <row r="515" spans="1:7">
      <c r="A515" s="313"/>
      <c r="B515" s="317" t="s">
        <v>2212</v>
      </c>
      <c r="C515" s="321" t="s">
        <v>2232</v>
      </c>
      <c r="D515" s="247">
        <v>366</v>
      </c>
      <c r="E515" s="321" t="s">
        <v>3070</v>
      </c>
      <c r="F515" s="436">
        <f t="shared" si="28"/>
        <v>366</v>
      </c>
      <c r="G515" s="457">
        <f t="shared" si="24"/>
        <v>378.81</v>
      </c>
    </row>
    <row r="516" spans="1:7">
      <c r="A516" s="313"/>
      <c r="B516" s="317" t="s">
        <v>3072</v>
      </c>
      <c r="C516" s="321" t="s">
        <v>2232</v>
      </c>
      <c r="D516" s="247">
        <v>342</v>
      </c>
      <c r="E516" s="321" t="s">
        <v>3070</v>
      </c>
      <c r="F516" s="436">
        <f t="shared" si="28"/>
        <v>342</v>
      </c>
      <c r="G516" s="457">
        <f t="shared" si="24"/>
        <v>353.97</v>
      </c>
    </row>
    <row r="517" spans="1:7">
      <c r="A517" s="313"/>
      <c r="B517" s="317" t="s">
        <v>3073</v>
      </c>
      <c r="C517" s="321" t="s">
        <v>2232</v>
      </c>
      <c r="D517" s="247">
        <v>350</v>
      </c>
      <c r="E517" s="321" t="s">
        <v>3070</v>
      </c>
      <c r="F517" s="436">
        <f t="shared" si="28"/>
        <v>350</v>
      </c>
      <c r="G517" s="457">
        <f t="shared" si="24"/>
        <v>362.25</v>
      </c>
    </row>
    <row r="518" spans="1:7">
      <c r="A518" s="313"/>
      <c r="B518" s="317" t="s">
        <v>3074</v>
      </c>
      <c r="C518" s="321" t="s">
        <v>2232</v>
      </c>
      <c r="D518" s="247">
        <v>275</v>
      </c>
      <c r="E518" s="321" t="s">
        <v>3070</v>
      </c>
      <c r="F518" s="436">
        <f t="shared" si="28"/>
        <v>275</v>
      </c>
      <c r="G518" s="457">
        <f t="shared" si="24"/>
        <v>284.62</v>
      </c>
    </row>
    <row r="519" spans="1:7">
      <c r="A519" s="313"/>
      <c r="B519" s="317" t="s">
        <v>3075</v>
      </c>
      <c r="C519" s="321" t="s">
        <v>2232</v>
      </c>
      <c r="D519" s="247">
        <v>132</v>
      </c>
      <c r="E519" s="321" t="s">
        <v>3070</v>
      </c>
      <c r="F519" s="436">
        <f t="shared" si="28"/>
        <v>132</v>
      </c>
      <c r="G519" s="457">
        <f t="shared" si="24"/>
        <v>136.62</v>
      </c>
    </row>
    <row r="520" spans="1:7">
      <c r="A520" s="313"/>
      <c r="B520" s="317" t="s">
        <v>3076</v>
      </c>
      <c r="C520" s="321" t="s">
        <v>3354</v>
      </c>
      <c r="D520" s="247">
        <v>100</v>
      </c>
      <c r="E520" s="321" t="s">
        <v>3354</v>
      </c>
      <c r="F520" s="436">
        <f t="shared" si="28"/>
        <v>100</v>
      </c>
      <c r="G520" s="457">
        <f t="shared" si="24"/>
        <v>103.5</v>
      </c>
    </row>
    <row r="521" spans="1:7">
      <c r="A521" s="313"/>
      <c r="B521" s="317" t="s">
        <v>3077</v>
      </c>
      <c r="C521" s="321" t="s">
        <v>1130</v>
      </c>
      <c r="D521" s="247">
        <v>120</v>
      </c>
      <c r="E521" s="321" t="s">
        <v>3354</v>
      </c>
      <c r="F521" s="436">
        <f t="shared" si="28"/>
        <v>120</v>
      </c>
      <c r="G521" s="457">
        <f t="shared" si="24"/>
        <v>124.2</v>
      </c>
    </row>
    <row r="522" spans="1:7">
      <c r="A522" s="313"/>
      <c r="B522" s="317" t="s">
        <v>2548</v>
      </c>
      <c r="C522" s="321" t="s">
        <v>1130</v>
      </c>
      <c r="D522" s="247">
        <v>160</v>
      </c>
      <c r="E522" s="321" t="s">
        <v>3354</v>
      </c>
      <c r="F522" s="436">
        <f t="shared" si="28"/>
        <v>160</v>
      </c>
      <c r="G522" s="457">
        <f t="shared" si="24"/>
        <v>165.6</v>
      </c>
    </row>
    <row r="523" spans="1:7">
      <c r="A523" s="313"/>
      <c r="B523" s="317" t="s">
        <v>2549</v>
      </c>
      <c r="C523" s="321" t="s">
        <v>3070</v>
      </c>
      <c r="D523" s="247">
        <v>120</v>
      </c>
      <c r="E523" s="321" t="s">
        <v>3070</v>
      </c>
      <c r="F523" s="436">
        <f t="shared" si="28"/>
        <v>120</v>
      </c>
      <c r="G523" s="457">
        <f t="shared" si="24"/>
        <v>124.2</v>
      </c>
    </row>
    <row r="524" spans="1:7">
      <c r="A524" s="313"/>
      <c r="B524" s="317" t="s">
        <v>2550</v>
      </c>
      <c r="C524" s="321" t="s">
        <v>2621</v>
      </c>
      <c r="D524" s="247">
        <v>225</v>
      </c>
      <c r="E524" s="321" t="s">
        <v>3070</v>
      </c>
      <c r="F524" s="436">
        <f t="shared" si="28"/>
        <v>225</v>
      </c>
      <c r="G524" s="457">
        <f t="shared" si="24"/>
        <v>232.87</v>
      </c>
    </row>
    <row r="525" spans="1:7">
      <c r="A525" s="313"/>
      <c r="B525" s="317" t="s">
        <v>2551</v>
      </c>
      <c r="C525" s="321" t="s">
        <v>2621</v>
      </c>
      <c r="D525" s="247">
        <v>170</v>
      </c>
      <c r="E525" s="321" t="s">
        <v>3070</v>
      </c>
      <c r="F525" s="436">
        <f t="shared" si="28"/>
        <v>170</v>
      </c>
      <c r="G525" s="457">
        <f t="shared" ref="G525:G588" si="29">FLOOR(F525*1.035,0.01)</f>
        <v>175.95000000000002</v>
      </c>
    </row>
    <row r="526" spans="1:7">
      <c r="A526" s="313"/>
      <c r="B526" s="317" t="s">
        <v>2213</v>
      </c>
      <c r="C526" s="321" t="s">
        <v>2232</v>
      </c>
      <c r="D526" s="247">
        <v>200</v>
      </c>
      <c r="E526" s="321" t="s">
        <v>3070</v>
      </c>
      <c r="F526" s="436">
        <f t="shared" si="28"/>
        <v>200</v>
      </c>
      <c r="G526" s="457">
        <f t="shared" si="29"/>
        <v>207</v>
      </c>
    </row>
    <row r="527" spans="1:7">
      <c r="A527" s="313"/>
      <c r="B527" s="317" t="s">
        <v>2552</v>
      </c>
      <c r="C527" s="321" t="s">
        <v>2553</v>
      </c>
      <c r="D527" s="247">
        <v>175</v>
      </c>
      <c r="E527" s="321" t="s">
        <v>3070</v>
      </c>
      <c r="F527" s="436">
        <f t="shared" si="28"/>
        <v>175</v>
      </c>
      <c r="G527" s="457">
        <f t="shared" si="29"/>
        <v>181.12</v>
      </c>
    </row>
    <row r="528" spans="1:7">
      <c r="A528" s="313"/>
      <c r="B528" s="317" t="s">
        <v>2214</v>
      </c>
      <c r="C528" s="321" t="s">
        <v>2621</v>
      </c>
      <c r="D528" s="247">
        <v>235</v>
      </c>
      <c r="E528" s="321" t="s">
        <v>3070</v>
      </c>
      <c r="F528" s="436">
        <f t="shared" si="28"/>
        <v>235</v>
      </c>
      <c r="G528" s="457">
        <f t="shared" si="29"/>
        <v>243.22</v>
      </c>
    </row>
    <row r="529" spans="1:7">
      <c r="A529" s="313"/>
      <c r="B529" s="317" t="s">
        <v>2554</v>
      </c>
      <c r="C529" s="321" t="s">
        <v>3355</v>
      </c>
      <c r="D529" s="247">
        <v>40</v>
      </c>
      <c r="E529" s="321" t="s">
        <v>3355</v>
      </c>
      <c r="F529" s="436">
        <f t="shared" si="28"/>
        <v>40</v>
      </c>
      <c r="G529" s="457">
        <f t="shared" si="29"/>
        <v>41.4</v>
      </c>
    </row>
    <row r="530" spans="1:7">
      <c r="A530" s="313"/>
      <c r="B530" s="317" t="s">
        <v>97</v>
      </c>
      <c r="C530" s="321" t="s">
        <v>3355</v>
      </c>
      <c r="D530" s="247">
        <v>110</v>
      </c>
      <c r="E530" s="321" t="s">
        <v>3355</v>
      </c>
      <c r="F530" s="436">
        <f t="shared" si="28"/>
        <v>110</v>
      </c>
      <c r="G530" s="457">
        <f t="shared" si="29"/>
        <v>113.85000000000001</v>
      </c>
    </row>
    <row r="531" spans="1:7">
      <c r="A531" s="313"/>
      <c r="B531" s="317" t="s">
        <v>98</v>
      </c>
      <c r="C531" s="321" t="s">
        <v>3355</v>
      </c>
      <c r="D531" s="247">
        <v>700</v>
      </c>
      <c r="E531" s="321" t="s">
        <v>3355</v>
      </c>
      <c r="F531" s="436">
        <f t="shared" si="28"/>
        <v>700</v>
      </c>
      <c r="G531" s="457">
        <f t="shared" si="29"/>
        <v>724.5</v>
      </c>
    </row>
    <row r="532" spans="1:7">
      <c r="A532" s="313"/>
      <c r="B532" s="317" t="s">
        <v>99</v>
      </c>
      <c r="C532" s="321" t="s">
        <v>3136</v>
      </c>
      <c r="D532" s="247">
        <v>135</v>
      </c>
      <c r="E532" s="321" t="s">
        <v>3070</v>
      </c>
      <c r="F532" s="436">
        <f t="shared" si="28"/>
        <v>135</v>
      </c>
      <c r="G532" s="457">
        <f t="shared" si="29"/>
        <v>139.72</v>
      </c>
    </row>
    <row r="533" spans="1:7">
      <c r="A533" s="313"/>
      <c r="B533" s="317" t="s">
        <v>100</v>
      </c>
      <c r="C533" s="321" t="s">
        <v>3136</v>
      </c>
      <c r="D533" s="247">
        <v>495</v>
      </c>
      <c r="E533" s="321" t="s">
        <v>3070</v>
      </c>
      <c r="F533" s="436">
        <f t="shared" si="28"/>
        <v>495</v>
      </c>
      <c r="G533" s="457">
        <f t="shared" si="29"/>
        <v>512.32000000000005</v>
      </c>
    </row>
    <row r="534" spans="1:7">
      <c r="A534" s="313"/>
      <c r="B534" s="317" t="s">
        <v>2215</v>
      </c>
      <c r="C534" s="321" t="s">
        <v>2621</v>
      </c>
      <c r="D534" s="247">
        <v>450</v>
      </c>
      <c r="E534" s="321" t="s">
        <v>3070</v>
      </c>
      <c r="F534" s="436">
        <f t="shared" si="28"/>
        <v>450</v>
      </c>
      <c r="G534" s="457">
        <f t="shared" si="29"/>
        <v>465.75</v>
      </c>
    </row>
    <row r="535" spans="1:7">
      <c r="A535" s="313"/>
      <c r="B535" s="317" t="s">
        <v>2216</v>
      </c>
      <c r="C535" s="321" t="s">
        <v>2232</v>
      </c>
      <c r="D535" s="247">
        <v>150</v>
      </c>
      <c r="E535" s="321" t="s">
        <v>3070</v>
      </c>
      <c r="F535" s="436">
        <f t="shared" si="28"/>
        <v>150</v>
      </c>
      <c r="G535" s="457">
        <f t="shared" si="29"/>
        <v>155.25</v>
      </c>
    </row>
    <row r="536" spans="1:7">
      <c r="A536" s="313"/>
      <c r="B536" s="317" t="s">
        <v>101</v>
      </c>
      <c r="C536" s="321" t="s">
        <v>3136</v>
      </c>
      <c r="D536" s="247">
        <v>90</v>
      </c>
      <c r="E536" s="321" t="s">
        <v>3070</v>
      </c>
      <c r="F536" s="436">
        <f t="shared" si="28"/>
        <v>90</v>
      </c>
      <c r="G536" s="457">
        <f t="shared" si="29"/>
        <v>93.15</v>
      </c>
    </row>
    <row r="537" spans="1:7">
      <c r="A537" s="313"/>
      <c r="B537" s="317" t="s">
        <v>102</v>
      </c>
      <c r="C537" s="321" t="s">
        <v>3355</v>
      </c>
      <c r="D537" s="247">
        <v>200</v>
      </c>
      <c r="E537" s="321" t="s">
        <v>3355</v>
      </c>
      <c r="F537" s="436">
        <f t="shared" si="28"/>
        <v>200</v>
      </c>
      <c r="G537" s="457">
        <f t="shared" si="29"/>
        <v>207</v>
      </c>
    </row>
    <row r="538" spans="1:7">
      <c r="A538" s="313"/>
      <c r="B538" s="317" t="s">
        <v>2217</v>
      </c>
      <c r="C538" s="321" t="s">
        <v>2232</v>
      </c>
      <c r="D538" s="247">
        <v>200</v>
      </c>
      <c r="E538" s="321" t="s">
        <v>3355</v>
      </c>
      <c r="F538" s="436">
        <f t="shared" si="28"/>
        <v>200</v>
      </c>
      <c r="G538" s="457">
        <f t="shared" si="29"/>
        <v>207</v>
      </c>
    </row>
    <row r="539" spans="1:7">
      <c r="A539" s="313"/>
      <c r="B539" s="317" t="s">
        <v>103</v>
      </c>
      <c r="C539" s="321" t="s">
        <v>2232</v>
      </c>
      <c r="D539" s="247">
        <v>15</v>
      </c>
      <c r="E539" s="321" t="s">
        <v>3355</v>
      </c>
      <c r="F539" s="436">
        <f t="shared" si="28"/>
        <v>15</v>
      </c>
      <c r="G539" s="457">
        <f t="shared" si="29"/>
        <v>15.52</v>
      </c>
    </row>
    <row r="540" spans="1:7">
      <c r="A540" s="649" t="s">
        <v>821</v>
      </c>
      <c r="B540" s="317" t="s">
        <v>2218</v>
      </c>
      <c r="C540" s="321" t="s">
        <v>3347</v>
      </c>
      <c r="D540" s="247">
        <v>65</v>
      </c>
      <c r="E540" s="321" t="s">
        <v>2110</v>
      </c>
      <c r="F540" s="436">
        <f t="shared" si="28"/>
        <v>65</v>
      </c>
      <c r="G540" s="457">
        <f t="shared" si="29"/>
        <v>67.27</v>
      </c>
    </row>
    <row r="541" spans="1:7">
      <c r="A541" s="313"/>
      <c r="B541" s="284" t="s">
        <v>2219</v>
      </c>
      <c r="C541" s="321" t="s">
        <v>3355</v>
      </c>
      <c r="D541" s="247">
        <v>17</v>
      </c>
      <c r="E541" s="321" t="s">
        <v>3355</v>
      </c>
      <c r="F541" s="436">
        <f t="shared" si="28"/>
        <v>17</v>
      </c>
      <c r="G541" s="457">
        <f t="shared" si="29"/>
        <v>17.59</v>
      </c>
    </row>
    <row r="542" spans="1:7">
      <c r="A542" s="340">
        <v>35</v>
      </c>
      <c r="B542" s="340" t="s">
        <v>104</v>
      </c>
      <c r="C542" s="327"/>
      <c r="D542" s="247"/>
      <c r="E542" s="316"/>
      <c r="F542" s="428"/>
      <c r="G542" s="457">
        <f t="shared" si="29"/>
        <v>0</v>
      </c>
    </row>
    <row r="543" spans="1:7">
      <c r="A543" s="313"/>
      <c r="B543" s="345" t="s">
        <v>105</v>
      </c>
      <c r="C543" s="332" t="s">
        <v>106</v>
      </c>
      <c r="D543" s="247"/>
      <c r="E543" s="332" t="s">
        <v>106</v>
      </c>
      <c r="F543" s="436">
        <f t="shared" ref="F543:F549" si="30">D543</f>
        <v>0</v>
      </c>
      <c r="G543" s="457">
        <f t="shared" si="29"/>
        <v>0</v>
      </c>
    </row>
    <row r="544" spans="1:7">
      <c r="A544" s="313"/>
      <c r="B544" s="365" t="s">
        <v>2220</v>
      </c>
      <c r="C544" s="332" t="s">
        <v>106</v>
      </c>
      <c r="D544" s="247"/>
      <c r="E544" s="332" t="s">
        <v>106</v>
      </c>
      <c r="F544" s="436">
        <f t="shared" si="30"/>
        <v>0</v>
      </c>
      <c r="G544" s="457">
        <f t="shared" si="29"/>
        <v>0</v>
      </c>
    </row>
    <row r="545" spans="1:7">
      <c r="A545" s="313"/>
      <c r="B545" s="345" t="s">
        <v>107</v>
      </c>
      <c r="C545" s="332" t="s">
        <v>106</v>
      </c>
      <c r="D545" s="247"/>
      <c r="E545" s="332" t="s">
        <v>106</v>
      </c>
      <c r="F545" s="436">
        <f t="shared" si="30"/>
        <v>0</v>
      </c>
      <c r="G545" s="457">
        <f t="shared" si="29"/>
        <v>0</v>
      </c>
    </row>
    <row r="546" spans="1:7">
      <c r="A546" s="313"/>
      <c r="B546" s="345" t="s">
        <v>108</v>
      </c>
      <c r="C546" s="332" t="s">
        <v>106</v>
      </c>
      <c r="D546" s="247"/>
      <c r="E546" s="332" t="s">
        <v>106</v>
      </c>
      <c r="F546" s="436">
        <f t="shared" si="30"/>
        <v>0</v>
      </c>
      <c r="G546" s="457">
        <f t="shared" si="29"/>
        <v>0</v>
      </c>
    </row>
    <row r="547" spans="1:7">
      <c r="A547" s="313"/>
      <c r="B547" s="345" t="s">
        <v>109</v>
      </c>
      <c r="C547" s="332" t="s">
        <v>106</v>
      </c>
      <c r="D547" s="247"/>
      <c r="E547" s="332" t="s">
        <v>106</v>
      </c>
      <c r="F547" s="436">
        <f t="shared" si="30"/>
        <v>0</v>
      </c>
      <c r="G547" s="457">
        <f t="shared" si="29"/>
        <v>0</v>
      </c>
    </row>
    <row r="548" spans="1:7">
      <c r="A548" s="313"/>
      <c r="B548" s="345" t="s">
        <v>110</v>
      </c>
      <c r="C548" s="332" t="s">
        <v>106</v>
      </c>
      <c r="D548" s="247"/>
      <c r="E548" s="332" t="s">
        <v>106</v>
      </c>
      <c r="F548" s="436">
        <f t="shared" si="30"/>
        <v>0</v>
      </c>
      <c r="G548" s="457">
        <f t="shared" si="29"/>
        <v>0</v>
      </c>
    </row>
    <row r="549" spans="1:7" ht="35.25">
      <c r="A549" s="313"/>
      <c r="B549" s="333" t="s">
        <v>2221</v>
      </c>
      <c r="C549" s="341" t="s">
        <v>111</v>
      </c>
      <c r="D549" s="247"/>
      <c r="E549" s="341" t="s">
        <v>111</v>
      </c>
      <c r="F549" s="436">
        <f t="shared" si="30"/>
        <v>0</v>
      </c>
      <c r="G549" s="457">
        <f t="shared" si="29"/>
        <v>0</v>
      </c>
    </row>
    <row r="550" spans="1:7" ht="36.75">
      <c r="A550" s="340">
        <v>36</v>
      </c>
      <c r="B550" s="366" t="s">
        <v>2222</v>
      </c>
      <c r="C550" s="366"/>
      <c r="D550" s="247"/>
      <c r="E550" s="367"/>
      <c r="F550" s="443"/>
      <c r="G550" s="457">
        <f t="shared" si="29"/>
        <v>0</v>
      </c>
    </row>
    <row r="551" spans="1:7">
      <c r="A551" s="313"/>
      <c r="B551" s="284" t="s">
        <v>2223</v>
      </c>
      <c r="C551" s="321" t="s">
        <v>3347</v>
      </c>
      <c r="D551" s="247">
        <v>20</v>
      </c>
      <c r="E551" s="321" t="s">
        <v>2110</v>
      </c>
      <c r="F551" s="429">
        <f>FLOOR(D551*10.76,0.01)</f>
        <v>215.20000000000002</v>
      </c>
      <c r="G551" s="457">
        <f t="shared" si="29"/>
        <v>222.73000000000002</v>
      </c>
    </row>
    <row r="552" spans="1:7">
      <c r="A552" s="313"/>
      <c r="B552" s="284" t="s">
        <v>2040</v>
      </c>
      <c r="C552" s="321" t="s">
        <v>1130</v>
      </c>
      <c r="D552" s="247">
        <v>28</v>
      </c>
      <c r="E552" s="321" t="s">
        <v>2110</v>
      </c>
      <c r="F552" s="429">
        <f>FLOOR(D552*10.76,0.01)</f>
        <v>301.28000000000003</v>
      </c>
      <c r="G552" s="457">
        <f t="shared" si="29"/>
        <v>311.82</v>
      </c>
    </row>
    <row r="553" spans="1:7">
      <c r="A553" s="313"/>
      <c r="B553" s="284" t="s">
        <v>1085</v>
      </c>
      <c r="C553" s="321" t="s">
        <v>1130</v>
      </c>
      <c r="D553" s="247">
        <v>110</v>
      </c>
      <c r="E553" s="321" t="s">
        <v>2110</v>
      </c>
      <c r="F553" s="429">
        <f>FLOOR(D553*10.76,0.01)</f>
        <v>1183.6000000000001</v>
      </c>
      <c r="G553" s="457">
        <f t="shared" si="29"/>
        <v>1225.02</v>
      </c>
    </row>
    <row r="554" spans="1:7">
      <c r="A554" s="313"/>
      <c r="B554" s="284" t="s">
        <v>1086</v>
      </c>
      <c r="C554" s="321" t="s">
        <v>1130</v>
      </c>
      <c r="D554" s="247">
        <v>73</v>
      </c>
      <c r="E554" s="321" t="s">
        <v>2110</v>
      </c>
      <c r="F554" s="429">
        <f>FLOOR(D554*10.76,0.01)</f>
        <v>785.48</v>
      </c>
      <c r="G554" s="457">
        <f t="shared" si="29"/>
        <v>812.97</v>
      </c>
    </row>
    <row r="555" spans="1:7" ht="32.25">
      <c r="A555" s="340"/>
      <c r="B555" s="284" t="s">
        <v>1095</v>
      </c>
      <c r="C555" s="321" t="s">
        <v>1130</v>
      </c>
      <c r="D555" s="247">
        <v>65</v>
      </c>
      <c r="E555" s="321" t="s">
        <v>2110</v>
      </c>
      <c r="F555" s="429">
        <f>FLOOR(D555*10.76,0.01)</f>
        <v>699.4</v>
      </c>
      <c r="G555" s="457">
        <f t="shared" si="29"/>
        <v>723.87</v>
      </c>
    </row>
    <row r="556" spans="1:7">
      <c r="A556" s="340">
        <v>37</v>
      </c>
      <c r="B556" s="337" t="s">
        <v>1096</v>
      </c>
      <c r="C556" s="337"/>
      <c r="D556" s="247"/>
      <c r="E556" s="369"/>
      <c r="F556" s="444"/>
      <c r="G556" s="457"/>
    </row>
    <row r="557" spans="1:7">
      <c r="A557" s="340"/>
      <c r="B557" s="356" t="s">
        <v>382</v>
      </c>
      <c r="C557" s="315" t="s">
        <v>3248</v>
      </c>
      <c r="D557" s="247">
        <v>132.75</v>
      </c>
      <c r="E557" s="316"/>
      <c r="F557" s="437"/>
      <c r="G557" s="457"/>
    </row>
    <row r="558" spans="1:7">
      <c r="A558" s="340"/>
      <c r="B558" s="356" t="s">
        <v>383</v>
      </c>
      <c r="C558" s="315" t="s">
        <v>3248</v>
      </c>
      <c r="D558" s="247">
        <v>194.69</v>
      </c>
      <c r="E558" s="316"/>
      <c r="F558" s="437"/>
      <c r="G558" s="457"/>
    </row>
    <row r="559" spans="1:7">
      <c r="A559" s="340"/>
      <c r="B559" s="356" t="s">
        <v>384</v>
      </c>
      <c r="C559" s="315" t="s">
        <v>3248</v>
      </c>
      <c r="D559" s="247">
        <v>250.74</v>
      </c>
      <c r="E559" s="316"/>
      <c r="F559" s="437"/>
      <c r="G559" s="457"/>
    </row>
    <row r="560" spans="1:7">
      <c r="A560" s="340"/>
      <c r="B560" s="356" t="s">
        <v>385</v>
      </c>
      <c r="C560" s="315" t="s">
        <v>3248</v>
      </c>
      <c r="D560" s="247">
        <v>339.23</v>
      </c>
      <c r="E560" s="316"/>
      <c r="F560" s="437"/>
      <c r="G560" s="457"/>
    </row>
    <row r="561" spans="1:7">
      <c r="A561" s="340"/>
      <c r="B561" s="356" t="s">
        <v>386</v>
      </c>
      <c r="C561" s="315" t="s">
        <v>3248</v>
      </c>
      <c r="D561" s="247">
        <v>412.98</v>
      </c>
      <c r="E561" s="316"/>
      <c r="F561" s="437"/>
      <c r="G561" s="457"/>
    </row>
    <row r="562" spans="1:7">
      <c r="A562" s="340"/>
      <c r="B562" s="356" t="s">
        <v>387</v>
      </c>
      <c r="C562" s="315" t="s">
        <v>3248</v>
      </c>
      <c r="D562" s="247"/>
      <c r="E562" s="315" t="s">
        <v>3248</v>
      </c>
      <c r="F562" s="429">
        <f>FLOOR(D562*3.28,0.01)</f>
        <v>0</v>
      </c>
      <c r="G562" s="457">
        <f t="shared" si="29"/>
        <v>0</v>
      </c>
    </row>
    <row r="563" spans="1:7">
      <c r="A563" s="340"/>
      <c r="B563" s="356" t="s">
        <v>388</v>
      </c>
      <c r="C563" s="315" t="s">
        <v>3248</v>
      </c>
      <c r="D563" s="247"/>
      <c r="E563" s="315" t="s">
        <v>3248</v>
      </c>
      <c r="F563" s="429">
        <f>FLOOR(D563*3.28,0.01)</f>
        <v>0</v>
      </c>
      <c r="G563" s="457">
        <f t="shared" si="29"/>
        <v>0</v>
      </c>
    </row>
    <row r="564" spans="1:7">
      <c r="A564" s="340"/>
      <c r="B564" s="356" t="s">
        <v>389</v>
      </c>
      <c r="C564" s="315" t="s">
        <v>3248</v>
      </c>
      <c r="D564" s="247"/>
      <c r="E564" s="315" t="s">
        <v>3248</v>
      </c>
      <c r="F564" s="429">
        <f>FLOOR(D564*3.28,0.01)</f>
        <v>0</v>
      </c>
      <c r="G564" s="457">
        <f t="shared" si="29"/>
        <v>0</v>
      </c>
    </row>
    <row r="565" spans="1:7">
      <c r="A565" s="340"/>
      <c r="B565" s="356" t="s">
        <v>390</v>
      </c>
      <c r="C565" s="315" t="s">
        <v>3248</v>
      </c>
      <c r="D565" s="247"/>
      <c r="E565" s="315" t="s">
        <v>3248</v>
      </c>
      <c r="F565" s="429">
        <f>FLOOR(D565*3.28,0.01)</f>
        <v>0</v>
      </c>
      <c r="G565" s="457">
        <f t="shared" si="29"/>
        <v>0</v>
      </c>
    </row>
    <row r="566" spans="1:7">
      <c r="A566" s="340"/>
      <c r="B566" s="356" t="s">
        <v>391</v>
      </c>
      <c r="C566" s="315" t="s">
        <v>3248</v>
      </c>
      <c r="D566" s="247"/>
      <c r="E566" s="315" t="s">
        <v>3248</v>
      </c>
      <c r="F566" s="429">
        <f>FLOOR(D566*3.28,0.01)</f>
        <v>0</v>
      </c>
      <c r="G566" s="457">
        <f t="shared" si="29"/>
        <v>0</v>
      </c>
    </row>
    <row r="567" spans="1:7" ht="23.25" customHeight="1">
      <c r="A567" s="340">
        <v>38</v>
      </c>
      <c r="B567" s="370" t="s">
        <v>392</v>
      </c>
      <c r="C567" s="327"/>
      <c r="D567" s="247"/>
      <c r="E567" s="316"/>
      <c r="F567" s="427"/>
      <c r="G567" s="457">
        <f t="shared" si="29"/>
        <v>0</v>
      </c>
    </row>
    <row r="568" spans="1:7" ht="46.5">
      <c r="A568" s="340"/>
      <c r="B568" s="357" t="s">
        <v>2109</v>
      </c>
      <c r="C568" s="321" t="s">
        <v>2110</v>
      </c>
      <c r="D568" s="247">
        <v>550</v>
      </c>
      <c r="E568" s="321" t="s">
        <v>2110</v>
      </c>
      <c r="F568" s="429">
        <v>500</v>
      </c>
      <c r="G568" s="457">
        <f t="shared" si="29"/>
        <v>517.5</v>
      </c>
    </row>
    <row r="569" spans="1:7" ht="31.5">
      <c r="A569" s="340"/>
      <c r="B569" s="357" t="s">
        <v>1097</v>
      </c>
      <c r="C569" s="321" t="s">
        <v>1098</v>
      </c>
      <c r="D569" s="247">
        <v>66</v>
      </c>
      <c r="E569" s="321" t="s">
        <v>1098</v>
      </c>
      <c r="F569" s="429">
        <v>60</v>
      </c>
      <c r="G569" s="457">
        <f t="shared" si="29"/>
        <v>62.1</v>
      </c>
    </row>
    <row r="570" spans="1:7">
      <c r="A570" s="340"/>
      <c r="B570" s="371" t="s">
        <v>2224</v>
      </c>
      <c r="C570" s="372"/>
      <c r="D570" s="247"/>
      <c r="E570" s="316"/>
      <c r="F570" s="427"/>
      <c r="G570" s="457">
        <f t="shared" si="29"/>
        <v>0</v>
      </c>
    </row>
    <row r="571" spans="1:7" ht="51.75">
      <c r="A571" s="340"/>
      <c r="B571" s="349" t="s">
        <v>1189</v>
      </c>
      <c r="C571" s="321" t="s">
        <v>1099</v>
      </c>
      <c r="D571" s="247"/>
      <c r="E571" s="373"/>
      <c r="F571" s="427"/>
      <c r="G571" s="457">
        <f t="shared" si="29"/>
        <v>0</v>
      </c>
    </row>
    <row r="572" spans="1:7" ht="30.75">
      <c r="A572" s="340"/>
      <c r="B572" s="349" t="s">
        <v>1190</v>
      </c>
      <c r="C572" s="321" t="s">
        <v>1130</v>
      </c>
      <c r="D572" s="247"/>
      <c r="E572" s="374"/>
      <c r="F572" s="427"/>
      <c r="G572" s="457">
        <f t="shared" si="29"/>
        <v>0</v>
      </c>
    </row>
    <row r="573" spans="1:7" ht="51.75">
      <c r="A573" s="340"/>
      <c r="B573" s="349" t="s">
        <v>1191</v>
      </c>
      <c r="C573" s="321" t="s">
        <v>1130</v>
      </c>
      <c r="D573" s="247"/>
      <c r="E573" s="374"/>
      <c r="F573" s="427"/>
      <c r="G573" s="457">
        <f t="shared" si="29"/>
        <v>0</v>
      </c>
    </row>
    <row r="574" spans="1:7" ht="30.75">
      <c r="A574" s="340"/>
      <c r="B574" s="349" t="s">
        <v>1192</v>
      </c>
      <c r="C574" s="321" t="s">
        <v>1130</v>
      </c>
      <c r="D574" s="247"/>
      <c r="E574" s="374"/>
      <c r="F574" s="427"/>
      <c r="G574" s="457">
        <f t="shared" si="29"/>
        <v>0</v>
      </c>
    </row>
    <row r="575" spans="1:7">
      <c r="A575" s="340"/>
      <c r="B575" s="375" t="s">
        <v>1100</v>
      </c>
      <c r="C575" s="321" t="s">
        <v>1101</v>
      </c>
      <c r="D575" s="247">
        <v>900</v>
      </c>
      <c r="E575" s="322"/>
      <c r="F575" s="429">
        <f>FLOOR(D575*3.28,0.01)</f>
        <v>2952</v>
      </c>
      <c r="G575" s="457">
        <f t="shared" si="29"/>
        <v>3055.32</v>
      </c>
    </row>
    <row r="576" spans="1:7">
      <c r="A576" s="340"/>
      <c r="B576" s="371" t="s">
        <v>1102</v>
      </c>
      <c r="C576" s="372"/>
      <c r="D576" s="247"/>
      <c r="E576" s="322"/>
      <c r="F576" s="427"/>
      <c r="G576" s="457">
        <f t="shared" si="29"/>
        <v>0</v>
      </c>
    </row>
    <row r="577" spans="1:7">
      <c r="A577" s="340"/>
      <c r="B577" s="376" t="s">
        <v>1103</v>
      </c>
      <c r="C577" s="372" t="s">
        <v>3261</v>
      </c>
      <c r="D577" s="247">
        <v>38</v>
      </c>
      <c r="E577" s="321" t="s">
        <v>2110</v>
      </c>
      <c r="F577" s="429">
        <f>FLOOR(D577*10.76,0.01)</f>
        <v>408.88</v>
      </c>
      <c r="G577" s="457">
        <f t="shared" si="29"/>
        <v>423.19</v>
      </c>
    </row>
    <row r="578" spans="1:7">
      <c r="A578" s="340"/>
      <c r="B578" s="376" t="s">
        <v>3262</v>
      </c>
      <c r="C578" s="372" t="s">
        <v>1130</v>
      </c>
      <c r="D578" s="247">
        <v>38</v>
      </c>
      <c r="E578" s="321" t="s">
        <v>2110</v>
      </c>
      <c r="F578" s="429">
        <f>FLOOR(D578*10.76,0.01)</f>
        <v>408.88</v>
      </c>
      <c r="G578" s="457">
        <f t="shared" si="29"/>
        <v>423.19</v>
      </c>
    </row>
    <row r="579" spans="1:7">
      <c r="A579" s="340"/>
      <c r="B579" s="376" t="s">
        <v>3263</v>
      </c>
      <c r="C579" s="372" t="s">
        <v>1130</v>
      </c>
      <c r="D579" s="247">
        <v>38</v>
      </c>
      <c r="E579" s="321" t="s">
        <v>2110</v>
      </c>
      <c r="F579" s="429">
        <f>FLOOR(D579*10.76,0.01)</f>
        <v>408.88</v>
      </c>
      <c r="G579" s="457">
        <f t="shared" si="29"/>
        <v>423.19</v>
      </c>
    </row>
    <row r="580" spans="1:7">
      <c r="A580" s="340"/>
      <c r="B580" s="371" t="s">
        <v>3264</v>
      </c>
      <c r="C580" s="372"/>
      <c r="D580" s="247"/>
      <c r="E580" s="322"/>
      <c r="F580" s="429"/>
      <c r="G580" s="457">
        <f t="shared" si="29"/>
        <v>0</v>
      </c>
    </row>
    <row r="581" spans="1:7">
      <c r="A581" s="340"/>
      <c r="B581" s="376" t="s">
        <v>1103</v>
      </c>
      <c r="C581" s="372" t="s">
        <v>3261</v>
      </c>
      <c r="D581" s="247">
        <v>40</v>
      </c>
      <c r="E581" s="321" t="s">
        <v>2110</v>
      </c>
      <c r="F581" s="429">
        <f>FLOOR(D581*10.76,0.01)</f>
        <v>430.40000000000003</v>
      </c>
      <c r="G581" s="457">
        <f t="shared" si="29"/>
        <v>445.46000000000004</v>
      </c>
    </row>
    <row r="582" spans="1:7">
      <c r="A582" s="340"/>
      <c r="B582" s="376" t="s">
        <v>3262</v>
      </c>
      <c r="C582" s="372" t="s">
        <v>1130</v>
      </c>
      <c r="D582" s="247">
        <v>40</v>
      </c>
      <c r="E582" s="321" t="s">
        <v>2110</v>
      </c>
      <c r="F582" s="429">
        <f>FLOOR(D582*10.76,0.01)</f>
        <v>430.40000000000003</v>
      </c>
      <c r="G582" s="457">
        <f t="shared" si="29"/>
        <v>445.46000000000004</v>
      </c>
    </row>
    <row r="583" spans="1:7">
      <c r="A583" s="340"/>
      <c r="B583" s="376" t="s">
        <v>3263</v>
      </c>
      <c r="C583" s="372" t="s">
        <v>1130</v>
      </c>
      <c r="D583" s="247">
        <v>40</v>
      </c>
      <c r="E583" s="321" t="s">
        <v>2110</v>
      </c>
      <c r="F583" s="429">
        <f>FLOOR(D583*10.76,0.01)</f>
        <v>430.40000000000003</v>
      </c>
      <c r="G583" s="457">
        <f t="shared" si="29"/>
        <v>445.46000000000004</v>
      </c>
    </row>
    <row r="584" spans="1:7">
      <c r="A584" s="340"/>
      <c r="B584" s="371" t="s">
        <v>3265</v>
      </c>
      <c r="C584" s="372"/>
      <c r="D584" s="247"/>
      <c r="E584" s="322"/>
      <c r="F584" s="429"/>
      <c r="G584" s="457">
        <f t="shared" si="29"/>
        <v>0</v>
      </c>
    </row>
    <row r="585" spans="1:7">
      <c r="A585" s="340"/>
      <c r="B585" s="376" t="s">
        <v>3266</v>
      </c>
      <c r="C585" s="372" t="s">
        <v>3261</v>
      </c>
      <c r="D585" s="247">
        <v>46</v>
      </c>
      <c r="E585" s="321" t="s">
        <v>2110</v>
      </c>
      <c r="F585" s="429">
        <f t="shared" ref="F585:F590" si="31">FLOOR(D585*10.76,0.01)</f>
        <v>494.96000000000004</v>
      </c>
      <c r="G585" s="457">
        <f t="shared" si="29"/>
        <v>512.28</v>
      </c>
    </row>
    <row r="586" spans="1:7">
      <c r="A586" s="340"/>
      <c r="B586" s="376" t="s">
        <v>3267</v>
      </c>
      <c r="C586" s="372" t="s">
        <v>1130</v>
      </c>
      <c r="D586" s="247">
        <v>46</v>
      </c>
      <c r="E586" s="321" t="s">
        <v>2110</v>
      </c>
      <c r="F586" s="429">
        <f t="shared" si="31"/>
        <v>494.96000000000004</v>
      </c>
      <c r="G586" s="457">
        <f t="shared" si="29"/>
        <v>512.28</v>
      </c>
    </row>
    <row r="587" spans="1:7">
      <c r="A587" s="340"/>
      <c r="B587" s="376" t="s">
        <v>3268</v>
      </c>
      <c r="C587" s="372" t="s">
        <v>1130</v>
      </c>
      <c r="D587" s="247">
        <v>46</v>
      </c>
      <c r="E587" s="321" t="s">
        <v>2110</v>
      </c>
      <c r="F587" s="429">
        <f t="shared" si="31"/>
        <v>494.96000000000004</v>
      </c>
      <c r="G587" s="457">
        <f t="shared" si="29"/>
        <v>512.28</v>
      </c>
    </row>
    <row r="588" spans="1:7">
      <c r="A588" s="340"/>
      <c r="B588" s="376" t="s">
        <v>3269</v>
      </c>
      <c r="C588" s="372" t="s">
        <v>1130</v>
      </c>
      <c r="D588" s="247">
        <v>46</v>
      </c>
      <c r="E588" s="321" t="s">
        <v>2110</v>
      </c>
      <c r="F588" s="429">
        <f t="shared" si="31"/>
        <v>494.96000000000004</v>
      </c>
      <c r="G588" s="457">
        <f t="shared" si="29"/>
        <v>512.28</v>
      </c>
    </row>
    <row r="589" spans="1:7">
      <c r="A589" s="340"/>
      <c r="B589" s="376" t="s">
        <v>3270</v>
      </c>
      <c r="C589" s="372" t="s">
        <v>1130</v>
      </c>
      <c r="D589" s="247">
        <v>46</v>
      </c>
      <c r="E589" s="321" t="s">
        <v>2110</v>
      </c>
      <c r="F589" s="429">
        <f t="shared" si="31"/>
        <v>494.96000000000004</v>
      </c>
      <c r="G589" s="457">
        <f t="shared" ref="G589:G652" si="32">FLOOR(F589*1.035,0.01)</f>
        <v>512.28</v>
      </c>
    </row>
    <row r="590" spans="1:7">
      <c r="A590" s="340"/>
      <c r="B590" s="376" t="s">
        <v>3271</v>
      </c>
      <c r="C590" s="372" t="s">
        <v>1130</v>
      </c>
      <c r="D590" s="247">
        <v>46</v>
      </c>
      <c r="E590" s="321" t="s">
        <v>2110</v>
      </c>
      <c r="F590" s="429">
        <f t="shared" si="31"/>
        <v>494.96000000000004</v>
      </c>
      <c r="G590" s="457">
        <f t="shared" si="32"/>
        <v>512.28</v>
      </c>
    </row>
    <row r="591" spans="1:7">
      <c r="A591" s="340"/>
      <c r="B591" s="371" t="s">
        <v>3272</v>
      </c>
      <c r="C591" s="372"/>
      <c r="D591" s="247"/>
      <c r="E591" s="322"/>
      <c r="F591" s="429"/>
      <c r="G591" s="457">
        <f t="shared" si="32"/>
        <v>0</v>
      </c>
    </row>
    <row r="592" spans="1:7">
      <c r="A592" s="340"/>
      <c r="B592" s="376" t="s">
        <v>3266</v>
      </c>
      <c r="C592" s="372" t="s">
        <v>3261</v>
      </c>
      <c r="D592" s="247">
        <v>47</v>
      </c>
      <c r="E592" s="321" t="s">
        <v>2110</v>
      </c>
      <c r="F592" s="429">
        <f t="shared" ref="F592:F597" si="33">FLOOR(D592*10.76,0.01)</f>
        <v>505.72</v>
      </c>
      <c r="G592" s="457">
        <f t="shared" si="32"/>
        <v>523.41999999999996</v>
      </c>
    </row>
    <row r="593" spans="1:7">
      <c r="A593" s="340"/>
      <c r="B593" s="376" t="s">
        <v>3267</v>
      </c>
      <c r="C593" s="372" t="s">
        <v>1130</v>
      </c>
      <c r="D593" s="247">
        <v>47</v>
      </c>
      <c r="E593" s="321" t="s">
        <v>2110</v>
      </c>
      <c r="F593" s="429">
        <f t="shared" si="33"/>
        <v>505.72</v>
      </c>
      <c r="G593" s="457">
        <f t="shared" si="32"/>
        <v>523.41999999999996</v>
      </c>
    </row>
    <row r="594" spans="1:7">
      <c r="A594" s="340"/>
      <c r="B594" s="376" t="s">
        <v>3268</v>
      </c>
      <c r="C594" s="372" t="s">
        <v>1130</v>
      </c>
      <c r="D594" s="247">
        <v>47</v>
      </c>
      <c r="E594" s="321" t="s">
        <v>2110</v>
      </c>
      <c r="F594" s="429">
        <f t="shared" si="33"/>
        <v>505.72</v>
      </c>
      <c r="G594" s="457">
        <f t="shared" si="32"/>
        <v>523.41999999999996</v>
      </c>
    </row>
    <row r="595" spans="1:7">
      <c r="A595" s="340"/>
      <c r="B595" s="376" t="s">
        <v>3269</v>
      </c>
      <c r="C595" s="372" t="s">
        <v>1130</v>
      </c>
      <c r="D595" s="247">
        <v>47</v>
      </c>
      <c r="E595" s="321" t="s">
        <v>2110</v>
      </c>
      <c r="F595" s="429">
        <f t="shared" si="33"/>
        <v>505.72</v>
      </c>
      <c r="G595" s="457">
        <f t="shared" si="32"/>
        <v>523.41999999999996</v>
      </c>
    </row>
    <row r="596" spans="1:7">
      <c r="A596" s="340"/>
      <c r="B596" s="376" t="s">
        <v>3270</v>
      </c>
      <c r="C596" s="372" t="s">
        <v>1130</v>
      </c>
      <c r="D596" s="247">
        <v>47</v>
      </c>
      <c r="E596" s="321" t="s">
        <v>2110</v>
      </c>
      <c r="F596" s="429">
        <f t="shared" si="33"/>
        <v>505.72</v>
      </c>
      <c r="G596" s="457">
        <f t="shared" si="32"/>
        <v>523.41999999999996</v>
      </c>
    </row>
    <row r="597" spans="1:7">
      <c r="A597" s="340"/>
      <c r="B597" s="376" t="s">
        <v>3271</v>
      </c>
      <c r="C597" s="372" t="s">
        <v>1130</v>
      </c>
      <c r="D597" s="247"/>
      <c r="E597" s="321" t="s">
        <v>2110</v>
      </c>
      <c r="F597" s="429">
        <f t="shared" si="33"/>
        <v>0</v>
      </c>
      <c r="G597" s="457">
        <f t="shared" si="32"/>
        <v>0</v>
      </c>
    </row>
    <row r="598" spans="1:7">
      <c r="A598" s="340"/>
      <c r="B598" s="371" t="s">
        <v>3273</v>
      </c>
      <c r="C598" s="372"/>
      <c r="D598" s="247"/>
      <c r="E598" s="322"/>
      <c r="F598" s="429"/>
      <c r="G598" s="457">
        <f t="shared" si="32"/>
        <v>0</v>
      </c>
    </row>
    <row r="599" spans="1:7">
      <c r="A599" s="340"/>
      <c r="B599" s="376" t="s">
        <v>3266</v>
      </c>
      <c r="C599" s="372" t="s">
        <v>3261</v>
      </c>
      <c r="D599" s="247">
        <v>48</v>
      </c>
      <c r="E599" s="321" t="s">
        <v>2110</v>
      </c>
      <c r="F599" s="429">
        <f t="shared" ref="F599:F604" si="34">FLOOR(D599*10.76,0.01)</f>
        <v>516.48</v>
      </c>
      <c r="G599" s="457">
        <f t="shared" si="32"/>
        <v>534.54999999999995</v>
      </c>
    </row>
    <row r="600" spans="1:7">
      <c r="A600" s="340"/>
      <c r="B600" s="376" t="s">
        <v>3267</v>
      </c>
      <c r="C600" s="372" t="s">
        <v>1130</v>
      </c>
      <c r="D600" s="247">
        <v>48</v>
      </c>
      <c r="E600" s="321" t="s">
        <v>2110</v>
      </c>
      <c r="F600" s="429">
        <f t="shared" si="34"/>
        <v>516.48</v>
      </c>
      <c r="G600" s="457">
        <f t="shared" si="32"/>
        <v>534.54999999999995</v>
      </c>
    </row>
    <row r="601" spans="1:7">
      <c r="A601" s="340"/>
      <c r="B601" s="376" t="s">
        <v>3268</v>
      </c>
      <c r="C601" s="372" t="s">
        <v>1130</v>
      </c>
      <c r="D601" s="247">
        <v>48</v>
      </c>
      <c r="E601" s="321" t="s">
        <v>2110</v>
      </c>
      <c r="F601" s="429">
        <f t="shared" si="34"/>
        <v>516.48</v>
      </c>
      <c r="G601" s="457">
        <f t="shared" si="32"/>
        <v>534.54999999999995</v>
      </c>
    </row>
    <row r="602" spans="1:7">
      <c r="A602" s="340"/>
      <c r="B602" s="376" t="s">
        <v>3269</v>
      </c>
      <c r="C602" s="372" t="s">
        <v>1130</v>
      </c>
      <c r="D602" s="247">
        <v>48</v>
      </c>
      <c r="E602" s="321" t="s">
        <v>2110</v>
      </c>
      <c r="F602" s="429">
        <f t="shared" si="34"/>
        <v>516.48</v>
      </c>
      <c r="G602" s="457">
        <f t="shared" si="32"/>
        <v>534.54999999999995</v>
      </c>
    </row>
    <row r="603" spans="1:7">
      <c r="A603" s="340"/>
      <c r="B603" s="376" t="s">
        <v>3270</v>
      </c>
      <c r="C603" s="372" t="s">
        <v>1130</v>
      </c>
      <c r="D603" s="247">
        <v>48</v>
      </c>
      <c r="E603" s="321" t="s">
        <v>2110</v>
      </c>
      <c r="F603" s="429">
        <f t="shared" si="34"/>
        <v>516.48</v>
      </c>
      <c r="G603" s="457">
        <f t="shared" si="32"/>
        <v>534.54999999999995</v>
      </c>
    </row>
    <row r="604" spans="1:7">
      <c r="A604" s="340"/>
      <c r="B604" s="376" t="s">
        <v>3271</v>
      </c>
      <c r="C604" s="372" t="s">
        <v>1130</v>
      </c>
      <c r="D604" s="247">
        <v>48</v>
      </c>
      <c r="E604" s="321" t="s">
        <v>2110</v>
      </c>
      <c r="F604" s="429">
        <f t="shared" si="34"/>
        <v>516.48</v>
      </c>
      <c r="G604" s="457">
        <f t="shared" si="32"/>
        <v>534.54999999999995</v>
      </c>
    </row>
    <row r="605" spans="1:7">
      <c r="A605" s="340"/>
      <c r="B605" s="371" t="s">
        <v>3274</v>
      </c>
      <c r="C605" s="372"/>
      <c r="D605" s="247"/>
      <c r="E605" s="322"/>
      <c r="F605" s="429"/>
      <c r="G605" s="457">
        <f t="shared" si="32"/>
        <v>0</v>
      </c>
    </row>
    <row r="606" spans="1:7">
      <c r="A606" s="340"/>
      <c r="B606" s="376" t="s">
        <v>3266</v>
      </c>
      <c r="C606" s="372" t="s">
        <v>3261</v>
      </c>
      <c r="D606" s="247">
        <v>49</v>
      </c>
      <c r="E606" s="321" t="s">
        <v>2110</v>
      </c>
      <c r="F606" s="429">
        <f t="shared" ref="F606:F611" si="35">FLOOR(D606*10.76,0.01)</f>
        <v>527.24</v>
      </c>
      <c r="G606" s="457">
        <f t="shared" si="32"/>
        <v>545.69000000000005</v>
      </c>
    </row>
    <row r="607" spans="1:7">
      <c r="A607" s="340"/>
      <c r="B607" s="376" t="s">
        <v>3267</v>
      </c>
      <c r="C607" s="372" t="s">
        <v>1130</v>
      </c>
      <c r="D607" s="247">
        <v>49</v>
      </c>
      <c r="E607" s="321" t="s">
        <v>2110</v>
      </c>
      <c r="F607" s="429">
        <f t="shared" si="35"/>
        <v>527.24</v>
      </c>
      <c r="G607" s="457">
        <f t="shared" si="32"/>
        <v>545.69000000000005</v>
      </c>
    </row>
    <row r="608" spans="1:7">
      <c r="A608" s="340"/>
      <c r="B608" s="376" t="s">
        <v>3268</v>
      </c>
      <c r="C608" s="372" t="s">
        <v>1130</v>
      </c>
      <c r="D608" s="247">
        <v>49</v>
      </c>
      <c r="E608" s="321" t="s">
        <v>2110</v>
      </c>
      <c r="F608" s="429">
        <f t="shared" si="35"/>
        <v>527.24</v>
      </c>
      <c r="G608" s="457">
        <f t="shared" si="32"/>
        <v>545.69000000000005</v>
      </c>
    </row>
    <row r="609" spans="1:7">
      <c r="A609" s="340"/>
      <c r="B609" s="376" t="s">
        <v>3269</v>
      </c>
      <c r="C609" s="372" t="s">
        <v>1130</v>
      </c>
      <c r="D609" s="247">
        <v>49</v>
      </c>
      <c r="E609" s="321" t="s">
        <v>2110</v>
      </c>
      <c r="F609" s="429">
        <f t="shared" si="35"/>
        <v>527.24</v>
      </c>
      <c r="G609" s="457">
        <f t="shared" si="32"/>
        <v>545.69000000000005</v>
      </c>
    </row>
    <row r="610" spans="1:7">
      <c r="A610" s="340"/>
      <c r="B610" s="376" t="s">
        <v>3270</v>
      </c>
      <c r="C610" s="372" t="s">
        <v>1130</v>
      </c>
      <c r="D610" s="247">
        <v>49</v>
      </c>
      <c r="E610" s="321" t="s">
        <v>2110</v>
      </c>
      <c r="F610" s="429">
        <f t="shared" si="35"/>
        <v>527.24</v>
      </c>
      <c r="G610" s="457">
        <f t="shared" si="32"/>
        <v>545.69000000000005</v>
      </c>
    </row>
    <row r="611" spans="1:7">
      <c r="A611" s="340"/>
      <c r="B611" s="376" t="s">
        <v>3271</v>
      </c>
      <c r="C611" s="372" t="s">
        <v>1130</v>
      </c>
      <c r="D611" s="247">
        <v>49</v>
      </c>
      <c r="E611" s="321" t="s">
        <v>2110</v>
      </c>
      <c r="F611" s="429">
        <f t="shared" si="35"/>
        <v>527.24</v>
      </c>
      <c r="G611" s="457">
        <f t="shared" si="32"/>
        <v>545.69000000000005</v>
      </c>
    </row>
    <row r="612" spans="1:7">
      <c r="A612" s="340"/>
      <c r="B612" s="371" t="s">
        <v>3275</v>
      </c>
      <c r="C612" s="372"/>
      <c r="D612" s="247"/>
      <c r="E612" s="322"/>
      <c r="F612" s="429"/>
      <c r="G612" s="457">
        <f t="shared" si="32"/>
        <v>0</v>
      </c>
    </row>
    <row r="613" spans="1:7">
      <c r="A613" s="340"/>
      <c r="B613" s="376" t="s">
        <v>3266</v>
      </c>
      <c r="C613" s="372" t="s">
        <v>3261</v>
      </c>
      <c r="D613" s="247">
        <v>54</v>
      </c>
      <c r="E613" s="321" t="s">
        <v>2110</v>
      </c>
      <c r="F613" s="429">
        <f t="shared" ref="F613:F618" si="36">FLOOR(D613*10.76,0.01)</f>
        <v>581.04</v>
      </c>
      <c r="G613" s="457">
        <f t="shared" si="32"/>
        <v>601.37</v>
      </c>
    </row>
    <row r="614" spans="1:7">
      <c r="A614" s="340"/>
      <c r="B614" s="376" t="s">
        <v>3267</v>
      </c>
      <c r="C614" s="372" t="s">
        <v>1130</v>
      </c>
      <c r="D614" s="247">
        <v>54</v>
      </c>
      <c r="E614" s="321" t="s">
        <v>2110</v>
      </c>
      <c r="F614" s="429">
        <f t="shared" si="36"/>
        <v>581.04</v>
      </c>
      <c r="G614" s="457">
        <f t="shared" si="32"/>
        <v>601.37</v>
      </c>
    </row>
    <row r="615" spans="1:7">
      <c r="A615" s="340"/>
      <c r="B615" s="376" t="s">
        <v>3268</v>
      </c>
      <c r="C615" s="372" t="s">
        <v>1130</v>
      </c>
      <c r="D615" s="247">
        <v>54</v>
      </c>
      <c r="E615" s="321" t="s">
        <v>2110</v>
      </c>
      <c r="F615" s="429">
        <f t="shared" si="36"/>
        <v>581.04</v>
      </c>
      <c r="G615" s="457">
        <f t="shared" si="32"/>
        <v>601.37</v>
      </c>
    </row>
    <row r="616" spans="1:7">
      <c r="A616" s="340"/>
      <c r="B616" s="376" t="s">
        <v>3269</v>
      </c>
      <c r="C616" s="372" t="s">
        <v>1130</v>
      </c>
      <c r="D616" s="247">
        <v>54</v>
      </c>
      <c r="E616" s="321" t="s">
        <v>2110</v>
      </c>
      <c r="F616" s="429">
        <f t="shared" si="36"/>
        <v>581.04</v>
      </c>
      <c r="G616" s="457">
        <f t="shared" si="32"/>
        <v>601.37</v>
      </c>
    </row>
    <row r="617" spans="1:7">
      <c r="A617" s="340"/>
      <c r="B617" s="376" t="s">
        <v>3270</v>
      </c>
      <c r="C617" s="372" t="s">
        <v>1130</v>
      </c>
      <c r="D617" s="247">
        <v>54</v>
      </c>
      <c r="E617" s="321" t="s">
        <v>2110</v>
      </c>
      <c r="F617" s="429">
        <f t="shared" si="36"/>
        <v>581.04</v>
      </c>
      <c r="G617" s="457">
        <f t="shared" si="32"/>
        <v>601.37</v>
      </c>
    </row>
    <row r="618" spans="1:7">
      <c r="A618" s="340"/>
      <c r="B618" s="376" t="s">
        <v>3271</v>
      </c>
      <c r="C618" s="372" t="s">
        <v>1130</v>
      </c>
      <c r="D618" s="247">
        <v>54</v>
      </c>
      <c r="E618" s="321" t="s">
        <v>2110</v>
      </c>
      <c r="F618" s="429">
        <f t="shared" si="36"/>
        <v>581.04</v>
      </c>
      <c r="G618" s="457">
        <f t="shared" si="32"/>
        <v>601.37</v>
      </c>
    </row>
    <row r="619" spans="1:7">
      <c r="A619" s="340"/>
      <c r="B619" s="371" t="s">
        <v>3276</v>
      </c>
      <c r="C619" s="372"/>
      <c r="D619" s="247"/>
      <c r="E619" s="322"/>
      <c r="F619" s="429"/>
      <c r="G619" s="457">
        <f t="shared" si="32"/>
        <v>0</v>
      </c>
    </row>
    <row r="620" spans="1:7">
      <c r="A620" s="340"/>
      <c r="B620" s="376" t="s">
        <v>3266</v>
      </c>
      <c r="C620" s="372" t="s">
        <v>3261</v>
      </c>
      <c r="D620" s="247">
        <v>55</v>
      </c>
      <c r="E620" s="321" t="s">
        <v>2110</v>
      </c>
      <c r="F620" s="429">
        <f t="shared" ref="F620:F625" si="37">FLOOR(D620*10.76,0.01)</f>
        <v>591.80000000000007</v>
      </c>
      <c r="G620" s="457">
        <f t="shared" si="32"/>
        <v>612.51</v>
      </c>
    </row>
    <row r="621" spans="1:7">
      <c r="A621" s="340"/>
      <c r="B621" s="376" t="s">
        <v>3267</v>
      </c>
      <c r="C621" s="372" t="s">
        <v>1130</v>
      </c>
      <c r="D621" s="247">
        <v>55</v>
      </c>
      <c r="E621" s="321" t="s">
        <v>2110</v>
      </c>
      <c r="F621" s="429">
        <f t="shared" si="37"/>
        <v>591.80000000000007</v>
      </c>
      <c r="G621" s="457">
        <f t="shared" si="32"/>
        <v>612.51</v>
      </c>
    </row>
    <row r="622" spans="1:7">
      <c r="A622" s="340"/>
      <c r="B622" s="376" t="s">
        <v>3268</v>
      </c>
      <c r="C622" s="372" t="s">
        <v>1130</v>
      </c>
      <c r="D622" s="247">
        <v>55</v>
      </c>
      <c r="E622" s="321" t="s">
        <v>2110</v>
      </c>
      <c r="F622" s="429">
        <f t="shared" si="37"/>
        <v>591.80000000000007</v>
      </c>
      <c r="G622" s="457">
        <f t="shared" si="32"/>
        <v>612.51</v>
      </c>
    </row>
    <row r="623" spans="1:7">
      <c r="A623" s="340"/>
      <c r="B623" s="376" t="s">
        <v>3269</v>
      </c>
      <c r="C623" s="372" t="s">
        <v>1130</v>
      </c>
      <c r="D623" s="247">
        <v>55</v>
      </c>
      <c r="E623" s="321" t="s">
        <v>2110</v>
      </c>
      <c r="F623" s="429">
        <f t="shared" si="37"/>
        <v>591.80000000000007</v>
      </c>
      <c r="G623" s="457">
        <f t="shared" si="32"/>
        <v>612.51</v>
      </c>
    </row>
    <row r="624" spans="1:7">
      <c r="A624" s="340"/>
      <c r="B624" s="376" t="s">
        <v>3270</v>
      </c>
      <c r="C624" s="372" t="s">
        <v>1130</v>
      </c>
      <c r="D624" s="247">
        <v>55</v>
      </c>
      <c r="E624" s="321" t="s">
        <v>2110</v>
      </c>
      <c r="F624" s="429">
        <f t="shared" si="37"/>
        <v>591.80000000000007</v>
      </c>
      <c r="G624" s="457">
        <f t="shared" si="32"/>
        <v>612.51</v>
      </c>
    </row>
    <row r="625" spans="1:7">
      <c r="A625" s="340"/>
      <c r="B625" s="376" t="s">
        <v>3271</v>
      </c>
      <c r="C625" s="372" t="s">
        <v>1130</v>
      </c>
      <c r="D625" s="247">
        <v>55</v>
      </c>
      <c r="E625" s="321" t="s">
        <v>2110</v>
      </c>
      <c r="F625" s="429">
        <f t="shared" si="37"/>
        <v>591.80000000000007</v>
      </c>
      <c r="G625" s="457">
        <f t="shared" si="32"/>
        <v>612.51</v>
      </c>
    </row>
    <row r="626" spans="1:7" ht="56.25">
      <c r="A626" s="340">
        <v>39</v>
      </c>
      <c r="B626" s="377" t="s">
        <v>3277</v>
      </c>
      <c r="C626" s="317"/>
      <c r="D626" s="247"/>
      <c r="E626" s="322"/>
      <c r="F626" s="428"/>
      <c r="G626" s="457">
        <f t="shared" si="32"/>
        <v>0</v>
      </c>
    </row>
    <row r="627" spans="1:7">
      <c r="A627" s="313"/>
      <c r="B627" s="345" t="s">
        <v>3278</v>
      </c>
      <c r="C627" s="317" t="s">
        <v>3347</v>
      </c>
      <c r="D627" s="247">
        <v>75</v>
      </c>
      <c r="E627" s="321" t="s">
        <v>2110</v>
      </c>
      <c r="F627" s="429">
        <f>FLOOR(D627*10.76,0.01)</f>
        <v>807</v>
      </c>
      <c r="G627" s="457">
        <f t="shared" si="32"/>
        <v>835.24</v>
      </c>
    </row>
    <row r="628" spans="1:7">
      <c r="A628" s="313"/>
      <c r="B628" s="345" t="s">
        <v>3279</v>
      </c>
      <c r="C628" s="317" t="s">
        <v>3347</v>
      </c>
      <c r="D628" s="247">
        <v>95</v>
      </c>
      <c r="E628" s="321" t="s">
        <v>2110</v>
      </c>
      <c r="F628" s="429">
        <f>FLOOR(D628*10.76,0.01)</f>
        <v>1022.2</v>
      </c>
      <c r="G628" s="457">
        <f t="shared" si="32"/>
        <v>1057.97</v>
      </c>
    </row>
    <row r="629" spans="1:7">
      <c r="A629" s="313"/>
      <c r="B629" s="345" t="s">
        <v>3280</v>
      </c>
      <c r="C629" s="317" t="s">
        <v>1130</v>
      </c>
      <c r="D629" s="247">
        <v>135</v>
      </c>
      <c r="E629" s="321" t="s">
        <v>2110</v>
      </c>
      <c r="F629" s="429">
        <f>FLOOR(D629*10.76,0.01)</f>
        <v>1452.6000000000001</v>
      </c>
      <c r="G629" s="457">
        <f t="shared" si="32"/>
        <v>1503.44</v>
      </c>
    </row>
    <row r="630" spans="1:7">
      <c r="A630" s="313"/>
      <c r="B630" s="345" t="s">
        <v>3281</v>
      </c>
      <c r="C630" s="317" t="s">
        <v>1130</v>
      </c>
      <c r="D630" s="247"/>
      <c r="E630" s="321" t="s">
        <v>2110</v>
      </c>
      <c r="F630" s="429">
        <f>FLOOR(D630*10.76,0.01)</f>
        <v>0</v>
      </c>
      <c r="G630" s="457">
        <f t="shared" si="32"/>
        <v>0</v>
      </c>
    </row>
    <row r="631" spans="1:7">
      <c r="A631" s="313"/>
      <c r="B631" s="345" t="s">
        <v>3282</v>
      </c>
      <c r="C631" s="317" t="s">
        <v>1130</v>
      </c>
      <c r="D631" s="247">
        <v>20</v>
      </c>
      <c r="E631" s="321" t="s">
        <v>2110</v>
      </c>
      <c r="F631" s="429">
        <f>FLOOR(D631*10.76,0.01)</f>
        <v>215.20000000000002</v>
      </c>
      <c r="G631" s="457">
        <f t="shared" si="32"/>
        <v>222.73000000000002</v>
      </c>
    </row>
    <row r="632" spans="1:7">
      <c r="A632" s="340">
        <v>40</v>
      </c>
      <c r="B632" s="313" t="s">
        <v>3283</v>
      </c>
      <c r="C632" s="317"/>
      <c r="D632" s="247"/>
      <c r="E632" s="322"/>
      <c r="F632" s="429"/>
      <c r="G632" s="457"/>
    </row>
    <row r="633" spans="1:7">
      <c r="A633" s="313"/>
      <c r="B633" s="345" t="s">
        <v>3284</v>
      </c>
      <c r="C633" s="321" t="s">
        <v>3347</v>
      </c>
      <c r="D633" s="247"/>
      <c r="E633" s="378"/>
      <c r="F633" s="429"/>
      <c r="G633" s="457"/>
    </row>
    <row r="634" spans="1:7" ht="20.25">
      <c r="A634" s="313"/>
      <c r="B634" s="345" t="s">
        <v>1193</v>
      </c>
      <c r="C634" s="321" t="s">
        <v>1130</v>
      </c>
      <c r="D634" s="247"/>
      <c r="E634" s="378"/>
      <c r="F634" s="429"/>
      <c r="G634" s="457"/>
    </row>
    <row r="635" spans="1:7" ht="20.25">
      <c r="A635" s="313"/>
      <c r="B635" s="345" t="s">
        <v>1194</v>
      </c>
      <c r="C635" s="321" t="s">
        <v>1130</v>
      </c>
      <c r="D635" s="247"/>
      <c r="E635" s="378"/>
      <c r="F635" s="429"/>
      <c r="G635" s="457"/>
    </row>
    <row r="636" spans="1:7">
      <c r="A636" s="313"/>
      <c r="B636" s="345" t="s">
        <v>3285</v>
      </c>
      <c r="C636" s="321" t="s">
        <v>1130</v>
      </c>
      <c r="D636" s="247"/>
      <c r="E636" s="378"/>
      <c r="F636" s="429"/>
      <c r="G636" s="457"/>
    </row>
    <row r="637" spans="1:7" ht="36.75">
      <c r="A637" s="313"/>
      <c r="B637" s="345" t="s">
        <v>1195</v>
      </c>
      <c r="C637" s="321" t="s">
        <v>1130</v>
      </c>
      <c r="D637" s="247"/>
      <c r="E637" s="378"/>
      <c r="F637" s="429"/>
      <c r="G637" s="457"/>
    </row>
    <row r="638" spans="1:7">
      <c r="A638" s="313"/>
      <c r="B638" s="351" t="s">
        <v>3286</v>
      </c>
      <c r="C638" s="321" t="s">
        <v>1130</v>
      </c>
      <c r="D638" s="247">
        <v>120</v>
      </c>
      <c r="E638" s="321" t="s">
        <v>2110</v>
      </c>
      <c r="F638" s="429">
        <f>FLOOR(D638*10.76,0.01)</f>
        <v>1291.2</v>
      </c>
      <c r="G638" s="457">
        <f t="shared" si="32"/>
        <v>1336.39</v>
      </c>
    </row>
    <row r="639" spans="1:7" ht="27">
      <c r="A639" s="313"/>
      <c r="B639" s="379" t="s">
        <v>2800</v>
      </c>
      <c r="C639" s="321" t="s">
        <v>1130</v>
      </c>
      <c r="D639" s="247">
        <v>420</v>
      </c>
      <c r="E639" s="321" t="s">
        <v>2110</v>
      </c>
      <c r="F639" s="429">
        <f>FLOOR(D639*10.76,0.01)</f>
        <v>4519.2</v>
      </c>
      <c r="G639" s="457">
        <f t="shared" si="32"/>
        <v>4677.37</v>
      </c>
    </row>
    <row r="640" spans="1:7">
      <c r="A640" s="340">
        <v>41</v>
      </c>
      <c r="B640" s="313" t="s">
        <v>2801</v>
      </c>
      <c r="C640" s="317"/>
      <c r="D640" s="247"/>
      <c r="E640" s="322"/>
      <c r="F640" s="428"/>
      <c r="G640" s="457">
        <f t="shared" si="32"/>
        <v>0</v>
      </c>
    </row>
    <row r="641" spans="1:7">
      <c r="A641" s="313"/>
      <c r="B641" s="284" t="s">
        <v>3089</v>
      </c>
      <c r="C641" s="362" t="s">
        <v>3038</v>
      </c>
      <c r="D641" s="247">
        <v>65</v>
      </c>
      <c r="E641" s="321" t="s">
        <v>2110</v>
      </c>
      <c r="F641" s="429">
        <f>FLOOR(D641/0.09,0.01)</f>
        <v>722.22</v>
      </c>
      <c r="G641" s="457">
        <f t="shared" si="32"/>
        <v>747.49</v>
      </c>
    </row>
    <row r="642" spans="1:7">
      <c r="A642" s="313"/>
      <c r="B642" s="284" t="s">
        <v>3090</v>
      </c>
      <c r="C642" s="315" t="s">
        <v>1136</v>
      </c>
      <c r="D642" s="247">
        <v>270</v>
      </c>
      <c r="E642" s="321" t="s">
        <v>2110</v>
      </c>
      <c r="F642" s="429">
        <f>FLOOR(D642/0.2025,0.01)</f>
        <v>1333.33</v>
      </c>
      <c r="G642" s="457">
        <f t="shared" si="32"/>
        <v>1379.99</v>
      </c>
    </row>
    <row r="643" spans="1:7">
      <c r="A643" s="313"/>
      <c r="B643" s="284" t="s">
        <v>2802</v>
      </c>
      <c r="C643" s="315" t="s">
        <v>1136</v>
      </c>
      <c r="D643" s="247">
        <v>100</v>
      </c>
      <c r="E643" s="321" t="s">
        <v>2110</v>
      </c>
      <c r="F643" s="429">
        <f>FLOOR(D643/0.92,0.01)</f>
        <v>108.69</v>
      </c>
      <c r="G643" s="457">
        <f t="shared" si="32"/>
        <v>112.49000000000001</v>
      </c>
    </row>
    <row r="644" spans="1:7">
      <c r="A644" s="313"/>
      <c r="B644" s="284" t="s">
        <v>2803</v>
      </c>
      <c r="C644" s="317" t="s">
        <v>3347</v>
      </c>
      <c r="D644" s="247">
        <v>10</v>
      </c>
      <c r="E644" s="321" t="s">
        <v>2110</v>
      </c>
      <c r="F644" s="429">
        <f>FLOOR(D644*10.76,0.01)</f>
        <v>107.60000000000001</v>
      </c>
      <c r="G644" s="457">
        <f t="shared" si="32"/>
        <v>111.36</v>
      </c>
    </row>
    <row r="645" spans="1:7">
      <c r="A645" s="313"/>
      <c r="B645" s="284" t="s">
        <v>318</v>
      </c>
      <c r="C645" s="317" t="s">
        <v>3347</v>
      </c>
      <c r="D645" s="247">
        <v>12</v>
      </c>
      <c r="E645" s="321" t="s">
        <v>2110</v>
      </c>
      <c r="F645" s="429">
        <f>FLOOR(D645*10.76,0.01)</f>
        <v>129.12</v>
      </c>
      <c r="G645" s="457">
        <f t="shared" si="32"/>
        <v>133.63</v>
      </c>
    </row>
    <row r="646" spans="1:7">
      <c r="A646" s="313"/>
      <c r="B646" s="284" t="s">
        <v>319</v>
      </c>
      <c r="C646" s="362" t="s">
        <v>3136</v>
      </c>
      <c r="D646" s="247">
        <v>325</v>
      </c>
      <c r="E646" s="362" t="s">
        <v>3136</v>
      </c>
      <c r="F646" s="436">
        <f>D646</f>
        <v>325</v>
      </c>
      <c r="G646" s="457">
        <f t="shared" si="32"/>
        <v>336.37</v>
      </c>
    </row>
    <row r="647" spans="1:7">
      <c r="A647" s="340">
        <v>42</v>
      </c>
      <c r="B647" s="313" t="s">
        <v>320</v>
      </c>
      <c r="C647" s="317"/>
      <c r="D647" s="247"/>
      <c r="E647" s="322"/>
      <c r="F647" s="428"/>
      <c r="G647" s="457">
        <f t="shared" si="32"/>
        <v>0</v>
      </c>
    </row>
    <row r="648" spans="1:7">
      <c r="A648" s="313"/>
      <c r="B648" s="284" t="s">
        <v>321</v>
      </c>
      <c r="C648" s="362" t="s">
        <v>322</v>
      </c>
      <c r="D648" s="247">
        <v>1200</v>
      </c>
      <c r="E648" s="321" t="s">
        <v>2110</v>
      </c>
      <c r="F648" s="429">
        <v>226.41</v>
      </c>
      <c r="G648" s="457">
        <f t="shared" si="32"/>
        <v>234.33</v>
      </c>
    </row>
    <row r="649" spans="1:7">
      <c r="A649" s="313"/>
      <c r="B649" s="284" t="s">
        <v>323</v>
      </c>
      <c r="C649" s="321" t="s">
        <v>3347</v>
      </c>
      <c r="D649" s="247">
        <v>7</v>
      </c>
      <c r="E649" s="321" t="s">
        <v>2110</v>
      </c>
      <c r="F649" s="429">
        <f>FLOOR(D649*10.76,0.01)</f>
        <v>75.320000000000007</v>
      </c>
      <c r="G649" s="457">
        <f t="shared" si="32"/>
        <v>77.95</v>
      </c>
    </row>
    <row r="650" spans="1:7">
      <c r="A650" s="313"/>
      <c r="B650" s="284" t="s">
        <v>324</v>
      </c>
      <c r="C650" s="362" t="s">
        <v>3136</v>
      </c>
      <c r="D650" s="247">
        <v>105</v>
      </c>
      <c r="E650" s="362" t="s">
        <v>3136</v>
      </c>
      <c r="F650" s="436">
        <f>D650</f>
        <v>105</v>
      </c>
      <c r="G650" s="457">
        <f t="shared" si="32"/>
        <v>108.67</v>
      </c>
    </row>
    <row r="651" spans="1:7">
      <c r="A651" s="340">
        <v>43</v>
      </c>
      <c r="B651" s="313" t="s">
        <v>325</v>
      </c>
      <c r="C651" s="317"/>
      <c r="D651" s="247"/>
      <c r="E651" s="322"/>
      <c r="F651" s="428"/>
      <c r="G651" s="457">
        <f t="shared" si="32"/>
        <v>0</v>
      </c>
    </row>
    <row r="652" spans="1:7">
      <c r="A652" s="313"/>
      <c r="B652" s="345" t="s">
        <v>326</v>
      </c>
      <c r="C652" s="317" t="s">
        <v>3347</v>
      </c>
      <c r="D652" s="247"/>
      <c r="E652" s="322"/>
      <c r="F652" s="428"/>
      <c r="G652" s="457">
        <f t="shared" si="32"/>
        <v>0</v>
      </c>
    </row>
    <row r="653" spans="1:7">
      <c r="A653" s="313"/>
      <c r="B653" s="345" t="s">
        <v>327</v>
      </c>
      <c r="C653" s="317" t="s">
        <v>1130</v>
      </c>
      <c r="D653" s="247"/>
      <c r="E653" s="322"/>
      <c r="F653" s="428"/>
      <c r="G653" s="457">
        <f t="shared" ref="G653:G716" si="38">FLOOR(F653*1.035,0.01)</f>
        <v>0</v>
      </c>
    </row>
    <row r="654" spans="1:7">
      <c r="A654" s="313"/>
      <c r="B654" s="345" t="s">
        <v>328</v>
      </c>
      <c r="C654" s="317" t="s">
        <v>1130</v>
      </c>
      <c r="D654" s="247"/>
      <c r="E654" s="322"/>
      <c r="F654" s="428"/>
      <c r="G654" s="457">
        <f t="shared" si="38"/>
        <v>0</v>
      </c>
    </row>
    <row r="655" spans="1:7">
      <c r="A655" s="313"/>
      <c r="B655" s="345" t="s">
        <v>329</v>
      </c>
      <c r="C655" s="317" t="s">
        <v>1130</v>
      </c>
      <c r="D655" s="247"/>
      <c r="E655" s="322"/>
      <c r="F655" s="428"/>
      <c r="G655" s="457">
        <f t="shared" si="38"/>
        <v>0</v>
      </c>
    </row>
    <row r="656" spans="1:7">
      <c r="A656" s="340">
        <v>44</v>
      </c>
      <c r="B656" s="313" t="s">
        <v>330</v>
      </c>
      <c r="C656" s="317"/>
      <c r="D656" s="247"/>
      <c r="E656" s="322"/>
      <c r="F656" s="428"/>
      <c r="G656" s="457">
        <f t="shared" si="38"/>
        <v>0</v>
      </c>
    </row>
    <row r="657" spans="1:7">
      <c r="A657" s="313"/>
      <c r="B657" s="345" t="s">
        <v>331</v>
      </c>
      <c r="C657" s="317" t="s">
        <v>3347</v>
      </c>
      <c r="D657" s="247">
        <v>31</v>
      </c>
      <c r="E657" s="322"/>
      <c r="F657" s="428"/>
      <c r="G657" s="457">
        <f t="shared" si="38"/>
        <v>0</v>
      </c>
    </row>
    <row r="658" spans="1:7">
      <c r="A658" s="313"/>
      <c r="B658" s="345" t="s">
        <v>332</v>
      </c>
      <c r="C658" s="317" t="s">
        <v>1130</v>
      </c>
      <c r="D658" s="247"/>
      <c r="E658" s="322"/>
      <c r="F658" s="428"/>
      <c r="G658" s="457">
        <f t="shared" si="38"/>
        <v>0</v>
      </c>
    </row>
    <row r="659" spans="1:7" ht="32.25">
      <c r="A659" s="313"/>
      <c r="B659" s="345" t="s">
        <v>333</v>
      </c>
      <c r="C659" s="317" t="s">
        <v>1130</v>
      </c>
      <c r="D659" s="247"/>
      <c r="E659" s="322"/>
      <c r="F659" s="428"/>
      <c r="G659" s="457">
        <f t="shared" si="38"/>
        <v>0</v>
      </c>
    </row>
    <row r="660" spans="1:7" ht="18" customHeight="1">
      <c r="A660" s="313"/>
      <c r="B660" s="345" t="s">
        <v>334</v>
      </c>
      <c r="C660" s="317" t="s">
        <v>1130</v>
      </c>
      <c r="D660" s="247"/>
      <c r="E660" s="321" t="s">
        <v>2110</v>
      </c>
      <c r="F660" s="429">
        <f>FLOOR(D660*10.76,0.01)</f>
        <v>0</v>
      </c>
      <c r="G660" s="457">
        <f t="shared" si="38"/>
        <v>0</v>
      </c>
    </row>
    <row r="661" spans="1:7">
      <c r="A661" s="340">
        <v>45</v>
      </c>
      <c r="B661" s="314" t="s">
        <v>335</v>
      </c>
      <c r="C661" s="314"/>
      <c r="D661" s="247"/>
      <c r="E661" s="325"/>
      <c r="F661" s="430"/>
      <c r="G661" s="457">
        <f t="shared" si="38"/>
        <v>0</v>
      </c>
    </row>
    <row r="662" spans="1:7" ht="35.25">
      <c r="A662" s="340"/>
      <c r="B662" s="284" t="s">
        <v>691</v>
      </c>
      <c r="C662" s="336" t="s">
        <v>1134</v>
      </c>
      <c r="D662" s="247">
        <v>550</v>
      </c>
      <c r="E662" s="336" t="s">
        <v>1134</v>
      </c>
      <c r="F662" s="445">
        <f>D662</f>
        <v>550</v>
      </c>
      <c r="G662" s="457">
        <f t="shared" si="38"/>
        <v>569.25</v>
      </c>
    </row>
    <row r="663" spans="1:7" ht="35.25">
      <c r="A663" s="340"/>
      <c r="B663" s="284" t="s">
        <v>692</v>
      </c>
      <c r="C663" s="336" t="s">
        <v>1134</v>
      </c>
      <c r="D663" s="247">
        <v>600</v>
      </c>
      <c r="E663" s="336" t="s">
        <v>1134</v>
      </c>
      <c r="F663" s="445">
        <f>D663</f>
        <v>600</v>
      </c>
      <c r="G663" s="457">
        <f t="shared" si="38"/>
        <v>621</v>
      </c>
    </row>
    <row r="664" spans="1:7" ht="35.25">
      <c r="A664" s="340"/>
      <c r="B664" s="284" t="s">
        <v>693</v>
      </c>
      <c r="C664" s="336" t="s">
        <v>2209</v>
      </c>
      <c r="D664" s="247">
        <v>500</v>
      </c>
      <c r="E664" s="321" t="s">
        <v>1101</v>
      </c>
      <c r="F664" s="445">
        <f>FLOOR(D664*3.28,0.01)</f>
        <v>1640</v>
      </c>
      <c r="G664" s="457">
        <f t="shared" si="38"/>
        <v>1697.4</v>
      </c>
    </row>
    <row r="665" spans="1:7" ht="35.25">
      <c r="A665" s="340"/>
      <c r="B665" s="284" t="s">
        <v>694</v>
      </c>
      <c r="C665" s="336" t="s">
        <v>1134</v>
      </c>
      <c r="D665" s="247">
        <v>2200</v>
      </c>
      <c r="E665" s="336" t="s">
        <v>1134</v>
      </c>
      <c r="F665" s="445">
        <f>D665</f>
        <v>2200</v>
      </c>
      <c r="G665" s="457">
        <f t="shared" si="38"/>
        <v>2277</v>
      </c>
    </row>
    <row r="666" spans="1:7" ht="34.5">
      <c r="A666" s="340"/>
      <c r="B666" s="284" t="s">
        <v>695</v>
      </c>
      <c r="C666" s="336" t="s">
        <v>1130</v>
      </c>
      <c r="D666" s="247">
        <v>7000</v>
      </c>
      <c r="E666" s="336" t="s">
        <v>1134</v>
      </c>
      <c r="F666" s="445">
        <f>D666</f>
        <v>7000</v>
      </c>
      <c r="G666" s="457">
        <f t="shared" si="38"/>
        <v>7245</v>
      </c>
    </row>
    <row r="667" spans="1:7" ht="34.5">
      <c r="A667" s="340"/>
      <c r="B667" s="284" t="s">
        <v>3304</v>
      </c>
      <c r="C667" s="336" t="s">
        <v>1130</v>
      </c>
      <c r="D667" s="247">
        <v>8000</v>
      </c>
      <c r="E667" s="336" t="s">
        <v>1134</v>
      </c>
      <c r="F667" s="445">
        <f>D667</f>
        <v>8000</v>
      </c>
      <c r="G667" s="457">
        <f t="shared" si="38"/>
        <v>8280</v>
      </c>
    </row>
    <row r="668" spans="1:7" ht="49.5">
      <c r="A668" s="340"/>
      <c r="B668" s="284" t="s">
        <v>3305</v>
      </c>
      <c r="C668" s="336" t="s">
        <v>2201</v>
      </c>
      <c r="D668" s="247">
        <v>1500</v>
      </c>
      <c r="E668" s="321" t="s">
        <v>2110</v>
      </c>
      <c r="F668" s="429">
        <f>FLOOR(D668*10.76,0.01)</f>
        <v>16140</v>
      </c>
      <c r="G668" s="457">
        <f t="shared" si="38"/>
        <v>16704.900000000001</v>
      </c>
    </row>
    <row r="669" spans="1:7" ht="34.5">
      <c r="A669" s="340"/>
      <c r="B669" s="284" t="s">
        <v>3306</v>
      </c>
      <c r="C669" s="336" t="s">
        <v>803</v>
      </c>
      <c r="D669" s="247">
        <v>3500</v>
      </c>
      <c r="E669" s="336" t="s">
        <v>803</v>
      </c>
      <c r="F669" s="445">
        <f>D669</f>
        <v>3500</v>
      </c>
      <c r="G669" s="457">
        <f t="shared" si="38"/>
        <v>3622.5</v>
      </c>
    </row>
    <row r="670" spans="1:7" ht="34.5">
      <c r="A670" s="340"/>
      <c r="B670" s="284" t="s">
        <v>2043</v>
      </c>
      <c r="C670" s="336" t="s">
        <v>2201</v>
      </c>
      <c r="D670" s="247">
        <v>500</v>
      </c>
      <c r="E670" s="321" t="s">
        <v>2110</v>
      </c>
      <c r="F670" s="429">
        <f>FLOOR(D670*10.76,0.01)</f>
        <v>5380</v>
      </c>
      <c r="G670" s="457">
        <f t="shared" si="38"/>
        <v>5568.3</v>
      </c>
    </row>
    <row r="671" spans="1:7" ht="34.5">
      <c r="A671" s="340"/>
      <c r="B671" s="284" t="s">
        <v>2044</v>
      </c>
      <c r="C671" s="336" t="s">
        <v>2201</v>
      </c>
      <c r="D671" s="247">
        <v>700</v>
      </c>
      <c r="E671" s="321" t="s">
        <v>2110</v>
      </c>
      <c r="F671" s="429">
        <f>FLOOR(D671*10.76,0.01)</f>
        <v>7532</v>
      </c>
      <c r="G671" s="457">
        <f t="shared" si="38"/>
        <v>7795.62</v>
      </c>
    </row>
    <row r="672" spans="1:7" ht="34.5">
      <c r="A672" s="340"/>
      <c r="B672" s="284" t="s">
        <v>2982</v>
      </c>
      <c r="C672" s="336" t="s">
        <v>2201</v>
      </c>
      <c r="D672" s="247">
        <v>1500</v>
      </c>
      <c r="E672" s="321" t="s">
        <v>2110</v>
      </c>
      <c r="F672" s="429">
        <f>FLOOR(D672*10.76,0.01)</f>
        <v>16140</v>
      </c>
      <c r="G672" s="457">
        <f t="shared" si="38"/>
        <v>16704.900000000001</v>
      </c>
    </row>
    <row r="673" spans="1:7" ht="34.5">
      <c r="A673" s="340"/>
      <c r="B673" s="284" t="s">
        <v>958</v>
      </c>
      <c r="C673" s="336" t="s">
        <v>2209</v>
      </c>
      <c r="D673" s="247">
        <v>950</v>
      </c>
      <c r="E673" s="321" t="s">
        <v>1101</v>
      </c>
      <c r="F673" s="445">
        <f>FLOOR(D673*3.28,0.01)</f>
        <v>3116</v>
      </c>
      <c r="G673" s="457">
        <f t="shared" si="38"/>
        <v>3225.06</v>
      </c>
    </row>
    <row r="674" spans="1:7" ht="35.25">
      <c r="A674" s="340"/>
      <c r="B674" s="284" t="s">
        <v>959</v>
      </c>
      <c r="C674" s="336" t="s">
        <v>2209</v>
      </c>
      <c r="D674" s="247">
        <v>600</v>
      </c>
      <c r="E674" s="321" t="s">
        <v>1101</v>
      </c>
      <c r="F674" s="445">
        <f>FLOOR(D674*3.28,0.01)</f>
        <v>1968</v>
      </c>
      <c r="G674" s="457">
        <f t="shared" si="38"/>
        <v>2036.88</v>
      </c>
    </row>
    <row r="675" spans="1:7" ht="35.25">
      <c r="A675" s="340"/>
      <c r="B675" s="284" t="s">
        <v>2580</v>
      </c>
      <c r="C675" s="336" t="s">
        <v>2209</v>
      </c>
      <c r="D675" s="247">
        <v>500</v>
      </c>
      <c r="E675" s="321" t="s">
        <v>1101</v>
      </c>
      <c r="F675" s="445">
        <f>FLOOR(D675*3.28,0.01)</f>
        <v>1640</v>
      </c>
      <c r="G675" s="457">
        <f t="shared" si="38"/>
        <v>1697.4</v>
      </c>
    </row>
    <row r="676" spans="1:7">
      <c r="A676" s="340">
        <v>46</v>
      </c>
      <c r="B676" s="314" t="s">
        <v>336</v>
      </c>
      <c r="C676" s="314"/>
      <c r="D676" s="247"/>
      <c r="E676" s="325"/>
      <c r="F676" s="430"/>
      <c r="G676" s="457">
        <f t="shared" si="38"/>
        <v>0</v>
      </c>
    </row>
    <row r="677" spans="1:7">
      <c r="A677" s="313"/>
      <c r="B677" s="317" t="s">
        <v>2581</v>
      </c>
      <c r="C677" s="321" t="s">
        <v>1134</v>
      </c>
      <c r="D677" s="247">
        <v>15</v>
      </c>
      <c r="E677" s="321" t="s">
        <v>1134</v>
      </c>
      <c r="F677" s="445">
        <f t="shared" ref="F677:F689" si="39">D677</f>
        <v>15</v>
      </c>
      <c r="G677" s="457">
        <f t="shared" si="38"/>
        <v>15.52</v>
      </c>
    </row>
    <row r="678" spans="1:7" ht="36.75">
      <c r="A678" s="313"/>
      <c r="B678" s="317" t="s">
        <v>2582</v>
      </c>
      <c r="C678" s="321" t="s">
        <v>1130</v>
      </c>
      <c r="D678" s="247">
        <v>15</v>
      </c>
      <c r="E678" s="321" t="s">
        <v>1134</v>
      </c>
      <c r="F678" s="445">
        <f t="shared" si="39"/>
        <v>15</v>
      </c>
      <c r="G678" s="457">
        <f t="shared" si="38"/>
        <v>15.52</v>
      </c>
    </row>
    <row r="679" spans="1:7">
      <c r="A679" s="313"/>
      <c r="B679" s="317" t="s">
        <v>337</v>
      </c>
      <c r="C679" s="321" t="s">
        <v>1130</v>
      </c>
      <c r="D679" s="247">
        <v>20</v>
      </c>
      <c r="E679" s="321" t="s">
        <v>1134</v>
      </c>
      <c r="F679" s="445">
        <f t="shared" si="39"/>
        <v>20</v>
      </c>
      <c r="G679" s="457">
        <f t="shared" si="38"/>
        <v>20.7</v>
      </c>
    </row>
    <row r="680" spans="1:7">
      <c r="A680" s="313"/>
      <c r="B680" s="317" t="s">
        <v>338</v>
      </c>
      <c r="C680" s="321" t="s">
        <v>1130</v>
      </c>
      <c r="D680" s="247">
        <v>20</v>
      </c>
      <c r="E680" s="321" t="s">
        <v>1134</v>
      </c>
      <c r="F680" s="445">
        <f t="shared" si="39"/>
        <v>20</v>
      </c>
      <c r="G680" s="457">
        <f t="shared" si="38"/>
        <v>20.7</v>
      </c>
    </row>
    <row r="681" spans="1:7">
      <c r="A681" s="313"/>
      <c r="B681" s="317" t="s">
        <v>2583</v>
      </c>
      <c r="C681" s="321" t="s">
        <v>1130</v>
      </c>
      <c r="D681" s="247">
        <v>7</v>
      </c>
      <c r="E681" s="321" t="s">
        <v>1134</v>
      </c>
      <c r="F681" s="445">
        <f t="shared" si="39"/>
        <v>7</v>
      </c>
      <c r="G681" s="457">
        <f t="shared" si="38"/>
        <v>7.24</v>
      </c>
    </row>
    <row r="682" spans="1:7">
      <c r="A682" s="313"/>
      <c r="B682" s="317" t="s">
        <v>2584</v>
      </c>
      <c r="C682" s="321" t="s">
        <v>1130</v>
      </c>
      <c r="D682" s="247">
        <v>7</v>
      </c>
      <c r="E682" s="321" t="s">
        <v>1134</v>
      </c>
      <c r="F682" s="445">
        <f t="shared" si="39"/>
        <v>7</v>
      </c>
      <c r="G682" s="457">
        <f t="shared" si="38"/>
        <v>7.24</v>
      </c>
    </row>
    <row r="683" spans="1:7">
      <c r="A683" s="313"/>
      <c r="B683" s="317" t="s">
        <v>2585</v>
      </c>
      <c r="C683" s="321" t="s">
        <v>1130</v>
      </c>
      <c r="D683" s="247">
        <v>14</v>
      </c>
      <c r="E683" s="321" t="s">
        <v>1134</v>
      </c>
      <c r="F683" s="445">
        <f t="shared" si="39"/>
        <v>14</v>
      </c>
      <c r="G683" s="457">
        <f t="shared" si="38"/>
        <v>14.49</v>
      </c>
    </row>
    <row r="684" spans="1:7">
      <c r="A684" s="313"/>
      <c r="B684" s="317" t="s">
        <v>2586</v>
      </c>
      <c r="C684" s="321" t="s">
        <v>1130</v>
      </c>
      <c r="D684" s="247">
        <v>6.5</v>
      </c>
      <c r="E684" s="321" t="s">
        <v>1134</v>
      </c>
      <c r="F684" s="445">
        <f t="shared" si="39"/>
        <v>6.5</v>
      </c>
      <c r="G684" s="457">
        <f t="shared" si="38"/>
        <v>6.72</v>
      </c>
    </row>
    <row r="685" spans="1:7">
      <c r="A685" s="313"/>
      <c r="B685" s="317" t="s">
        <v>2587</v>
      </c>
      <c r="C685" s="321" t="s">
        <v>1130</v>
      </c>
      <c r="D685" s="247">
        <v>50</v>
      </c>
      <c r="E685" s="321" t="s">
        <v>1134</v>
      </c>
      <c r="F685" s="445">
        <f t="shared" si="39"/>
        <v>50</v>
      </c>
      <c r="G685" s="457">
        <f t="shared" si="38"/>
        <v>51.75</v>
      </c>
    </row>
    <row r="686" spans="1:7">
      <c r="A686" s="313"/>
      <c r="B686" s="317" t="s">
        <v>1500</v>
      </c>
      <c r="C686" s="321" t="s">
        <v>1130</v>
      </c>
      <c r="D686" s="247">
        <v>5.5</v>
      </c>
      <c r="E686" s="321" t="s">
        <v>1134</v>
      </c>
      <c r="F686" s="445">
        <f t="shared" si="39"/>
        <v>5.5</v>
      </c>
      <c r="G686" s="457">
        <f t="shared" si="38"/>
        <v>5.69</v>
      </c>
    </row>
    <row r="687" spans="1:7">
      <c r="A687" s="313"/>
      <c r="B687" s="380" t="s">
        <v>1501</v>
      </c>
      <c r="C687" s="321" t="s">
        <v>803</v>
      </c>
      <c r="D687" s="247">
        <v>7</v>
      </c>
      <c r="E687" s="321" t="s">
        <v>1134</v>
      </c>
      <c r="F687" s="445">
        <f t="shared" si="39"/>
        <v>7</v>
      </c>
      <c r="G687" s="457">
        <f t="shared" si="38"/>
        <v>7.24</v>
      </c>
    </row>
    <row r="688" spans="1:7">
      <c r="A688" s="313"/>
      <c r="B688" s="317" t="s">
        <v>1502</v>
      </c>
      <c r="C688" s="321" t="s">
        <v>803</v>
      </c>
      <c r="D688" s="247">
        <v>3</v>
      </c>
      <c r="E688" s="321" t="s">
        <v>1134</v>
      </c>
      <c r="F688" s="445">
        <f t="shared" si="39"/>
        <v>3</v>
      </c>
      <c r="G688" s="457">
        <f t="shared" si="38"/>
        <v>3.1</v>
      </c>
    </row>
    <row r="689" spans="1:7">
      <c r="A689" s="313"/>
      <c r="B689" s="317" t="s">
        <v>1503</v>
      </c>
      <c r="C689" s="321" t="s">
        <v>803</v>
      </c>
      <c r="D689" s="247">
        <v>35</v>
      </c>
      <c r="E689" s="321" t="s">
        <v>1134</v>
      </c>
      <c r="F689" s="445">
        <f t="shared" si="39"/>
        <v>35</v>
      </c>
      <c r="G689" s="457">
        <f t="shared" si="38"/>
        <v>36.22</v>
      </c>
    </row>
    <row r="690" spans="1:7">
      <c r="A690" s="313"/>
      <c r="B690" s="317" t="s">
        <v>1539</v>
      </c>
      <c r="C690" s="321" t="s">
        <v>1130</v>
      </c>
      <c r="D690" s="247"/>
      <c r="E690" s="321" t="s">
        <v>1134</v>
      </c>
      <c r="F690" s="445"/>
      <c r="G690" s="457">
        <f t="shared" si="38"/>
        <v>0</v>
      </c>
    </row>
    <row r="691" spans="1:7">
      <c r="A691" s="313"/>
      <c r="B691" s="317" t="s">
        <v>1118</v>
      </c>
      <c r="C691" s="321" t="s">
        <v>1130</v>
      </c>
      <c r="D691" s="247"/>
      <c r="E691" s="321" t="s">
        <v>1134</v>
      </c>
      <c r="F691" s="445"/>
      <c r="G691" s="457">
        <f t="shared" si="38"/>
        <v>0</v>
      </c>
    </row>
    <row r="692" spans="1:7">
      <c r="A692" s="313"/>
      <c r="B692" s="317" t="s">
        <v>1119</v>
      </c>
      <c r="C692" s="321"/>
      <c r="D692" s="247"/>
      <c r="E692" s="321" t="s">
        <v>1134</v>
      </c>
      <c r="F692" s="445"/>
      <c r="G692" s="457">
        <f t="shared" si="38"/>
        <v>0</v>
      </c>
    </row>
    <row r="693" spans="1:7">
      <c r="A693" s="313"/>
      <c r="B693" s="381" t="s">
        <v>1120</v>
      </c>
      <c r="C693" s="321" t="s">
        <v>1130</v>
      </c>
      <c r="D693" s="247">
        <v>100</v>
      </c>
      <c r="E693" s="321" t="s">
        <v>1134</v>
      </c>
      <c r="F693" s="445">
        <f>D693</f>
        <v>100</v>
      </c>
      <c r="G693" s="457">
        <f t="shared" si="38"/>
        <v>103.5</v>
      </c>
    </row>
    <row r="694" spans="1:7">
      <c r="A694" s="313"/>
      <c r="B694" s="381" t="s">
        <v>1121</v>
      </c>
      <c r="C694" s="321" t="s">
        <v>1130</v>
      </c>
      <c r="D694" s="247">
        <v>200</v>
      </c>
      <c r="E694" s="321" t="s">
        <v>1134</v>
      </c>
      <c r="F694" s="445">
        <f>D694</f>
        <v>200</v>
      </c>
      <c r="G694" s="457">
        <f t="shared" si="38"/>
        <v>207</v>
      </c>
    </row>
    <row r="695" spans="1:7">
      <c r="A695" s="313"/>
      <c r="B695" s="317" t="s">
        <v>1122</v>
      </c>
      <c r="C695" s="317"/>
      <c r="D695" s="247"/>
      <c r="E695" s="323"/>
      <c r="F695" s="445"/>
      <c r="G695" s="457">
        <f t="shared" si="38"/>
        <v>0</v>
      </c>
    </row>
    <row r="696" spans="1:7">
      <c r="A696" s="313"/>
      <c r="B696" s="381" t="s">
        <v>2588</v>
      </c>
      <c r="C696" s="321" t="s">
        <v>1130</v>
      </c>
      <c r="D696" s="247"/>
      <c r="E696" s="316"/>
      <c r="F696" s="445"/>
      <c r="G696" s="457">
        <f t="shared" si="38"/>
        <v>0</v>
      </c>
    </row>
    <row r="697" spans="1:7">
      <c r="A697" s="313"/>
      <c r="B697" s="381" t="s">
        <v>2589</v>
      </c>
      <c r="C697" s="321"/>
      <c r="D697" s="247">
        <v>600</v>
      </c>
      <c r="E697" s="316"/>
      <c r="F697" s="445"/>
      <c r="G697" s="457">
        <f t="shared" si="38"/>
        <v>0</v>
      </c>
    </row>
    <row r="698" spans="1:7">
      <c r="A698" s="313"/>
      <c r="B698" s="317" t="s">
        <v>1123</v>
      </c>
      <c r="C698" s="321" t="s">
        <v>803</v>
      </c>
      <c r="D698" s="247">
        <v>17</v>
      </c>
      <c r="E698" s="321" t="s">
        <v>1134</v>
      </c>
      <c r="F698" s="445">
        <f>D698</f>
        <v>17</v>
      </c>
      <c r="G698" s="457">
        <f t="shared" si="38"/>
        <v>17.59</v>
      </c>
    </row>
    <row r="699" spans="1:7">
      <c r="A699" s="313"/>
      <c r="B699" s="317" t="s">
        <v>2590</v>
      </c>
      <c r="C699" s="321" t="s">
        <v>1130</v>
      </c>
      <c r="D699" s="247"/>
      <c r="E699" s="321" t="s">
        <v>1134</v>
      </c>
      <c r="F699" s="445"/>
      <c r="G699" s="457">
        <f t="shared" si="38"/>
        <v>0</v>
      </c>
    </row>
    <row r="700" spans="1:7">
      <c r="A700" s="313"/>
      <c r="B700" s="317" t="s">
        <v>2591</v>
      </c>
      <c r="C700" s="321" t="s">
        <v>1130</v>
      </c>
      <c r="D700" s="247">
        <v>150</v>
      </c>
      <c r="E700" s="321" t="s">
        <v>1134</v>
      </c>
      <c r="F700" s="445">
        <f t="shared" ref="F700:F722" si="40">D700</f>
        <v>150</v>
      </c>
      <c r="G700" s="457">
        <f t="shared" si="38"/>
        <v>155.25</v>
      </c>
    </row>
    <row r="701" spans="1:7">
      <c r="A701" s="313"/>
      <c r="B701" s="317" t="s">
        <v>2592</v>
      </c>
      <c r="C701" s="321" t="s">
        <v>1130</v>
      </c>
      <c r="D701" s="247">
        <v>125</v>
      </c>
      <c r="E701" s="321" t="s">
        <v>1134</v>
      </c>
      <c r="F701" s="445">
        <f t="shared" si="40"/>
        <v>125</v>
      </c>
      <c r="G701" s="457">
        <f t="shared" si="38"/>
        <v>129.37</v>
      </c>
    </row>
    <row r="702" spans="1:7">
      <c r="A702" s="313"/>
      <c r="B702" s="317" t="s">
        <v>2593</v>
      </c>
      <c r="C702" s="321" t="s">
        <v>1130</v>
      </c>
      <c r="D702" s="247">
        <v>12</v>
      </c>
      <c r="E702" s="321" t="s">
        <v>1134</v>
      </c>
      <c r="F702" s="445">
        <f t="shared" si="40"/>
        <v>12</v>
      </c>
      <c r="G702" s="457">
        <f t="shared" si="38"/>
        <v>12.42</v>
      </c>
    </row>
    <row r="703" spans="1:7">
      <c r="A703" s="313"/>
      <c r="B703" s="317" t="s">
        <v>2594</v>
      </c>
      <c r="C703" s="321" t="s">
        <v>1130</v>
      </c>
      <c r="D703" s="247">
        <v>9</v>
      </c>
      <c r="E703" s="321" t="s">
        <v>1134</v>
      </c>
      <c r="F703" s="445">
        <f t="shared" si="40"/>
        <v>9</v>
      </c>
      <c r="G703" s="457">
        <f t="shared" si="38"/>
        <v>9.31</v>
      </c>
    </row>
    <row r="704" spans="1:7">
      <c r="A704" s="313"/>
      <c r="B704" s="317" t="s">
        <v>2595</v>
      </c>
      <c r="C704" s="321" t="s">
        <v>1130</v>
      </c>
      <c r="D704" s="247">
        <v>17</v>
      </c>
      <c r="E704" s="321" t="s">
        <v>1134</v>
      </c>
      <c r="F704" s="445">
        <f t="shared" si="40"/>
        <v>17</v>
      </c>
      <c r="G704" s="457">
        <f t="shared" si="38"/>
        <v>17.59</v>
      </c>
    </row>
    <row r="705" spans="1:7">
      <c r="A705" s="313"/>
      <c r="B705" s="317" t="s">
        <v>2596</v>
      </c>
      <c r="C705" s="321" t="s">
        <v>1130</v>
      </c>
      <c r="D705" s="247">
        <v>12</v>
      </c>
      <c r="E705" s="321" t="s">
        <v>1134</v>
      </c>
      <c r="F705" s="445">
        <f t="shared" si="40"/>
        <v>12</v>
      </c>
      <c r="G705" s="457">
        <f t="shared" si="38"/>
        <v>12.42</v>
      </c>
    </row>
    <row r="706" spans="1:7">
      <c r="A706" s="313"/>
      <c r="B706" s="317" t="s">
        <v>1124</v>
      </c>
      <c r="C706" s="321" t="s">
        <v>1130</v>
      </c>
      <c r="D706" s="247">
        <v>25</v>
      </c>
      <c r="E706" s="321" t="s">
        <v>1134</v>
      </c>
      <c r="F706" s="445">
        <f t="shared" si="40"/>
        <v>25</v>
      </c>
      <c r="G706" s="457">
        <f t="shared" si="38"/>
        <v>25.87</v>
      </c>
    </row>
    <row r="707" spans="1:7">
      <c r="A707" s="313"/>
      <c r="B707" s="317" t="s">
        <v>3416</v>
      </c>
      <c r="C707" s="321" t="s">
        <v>1130</v>
      </c>
      <c r="D707" s="247">
        <v>37</v>
      </c>
      <c r="E707" s="321" t="s">
        <v>1134</v>
      </c>
      <c r="F707" s="445">
        <f t="shared" si="40"/>
        <v>37</v>
      </c>
      <c r="G707" s="457">
        <f t="shared" si="38"/>
        <v>38.29</v>
      </c>
    </row>
    <row r="708" spans="1:7">
      <c r="A708" s="313"/>
      <c r="B708" s="357" t="s">
        <v>3616</v>
      </c>
      <c r="C708" s="321" t="s">
        <v>1130</v>
      </c>
      <c r="D708" s="247">
        <v>150</v>
      </c>
      <c r="E708" s="321" t="s">
        <v>1134</v>
      </c>
      <c r="F708" s="445">
        <f t="shared" si="40"/>
        <v>150</v>
      </c>
      <c r="G708" s="457">
        <f t="shared" si="38"/>
        <v>155.25</v>
      </c>
    </row>
    <row r="709" spans="1:7">
      <c r="A709" s="313"/>
      <c r="B709" s="317" t="s">
        <v>3417</v>
      </c>
      <c r="C709" s="321" t="s">
        <v>1130</v>
      </c>
      <c r="D709" s="247">
        <v>30</v>
      </c>
      <c r="E709" s="321" t="s">
        <v>1134</v>
      </c>
      <c r="F709" s="445">
        <f t="shared" si="40"/>
        <v>30</v>
      </c>
      <c r="G709" s="457">
        <f t="shared" si="38"/>
        <v>31.05</v>
      </c>
    </row>
    <row r="710" spans="1:7">
      <c r="A710" s="313"/>
      <c r="B710" s="317" t="s">
        <v>3617</v>
      </c>
      <c r="C710" s="321" t="s">
        <v>1130</v>
      </c>
      <c r="D710" s="247">
        <v>50</v>
      </c>
      <c r="E710" s="321" t="s">
        <v>1134</v>
      </c>
      <c r="F710" s="445">
        <f t="shared" si="40"/>
        <v>50</v>
      </c>
      <c r="G710" s="457">
        <f t="shared" si="38"/>
        <v>51.75</v>
      </c>
    </row>
    <row r="711" spans="1:7">
      <c r="A711" s="313"/>
      <c r="B711" s="317" t="s">
        <v>3618</v>
      </c>
      <c r="C711" s="321" t="s">
        <v>1130</v>
      </c>
      <c r="D711" s="247">
        <v>1400</v>
      </c>
      <c r="E711" s="321" t="s">
        <v>1134</v>
      </c>
      <c r="F711" s="445">
        <f t="shared" si="40"/>
        <v>1400</v>
      </c>
      <c r="G711" s="457">
        <f t="shared" si="38"/>
        <v>1449</v>
      </c>
    </row>
    <row r="712" spans="1:7">
      <c r="A712" s="313"/>
      <c r="B712" s="317" t="s">
        <v>3619</v>
      </c>
      <c r="C712" s="321" t="s">
        <v>1130</v>
      </c>
      <c r="D712" s="247">
        <v>950</v>
      </c>
      <c r="E712" s="321" t="s">
        <v>1134</v>
      </c>
      <c r="F712" s="445">
        <f t="shared" si="40"/>
        <v>950</v>
      </c>
      <c r="G712" s="457">
        <f t="shared" si="38"/>
        <v>983.25</v>
      </c>
    </row>
    <row r="713" spans="1:7">
      <c r="A713" s="313"/>
      <c r="B713" s="317" t="s">
        <v>3620</v>
      </c>
      <c r="C713" s="321" t="s">
        <v>1130</v>
      </c>
      <c r="D713" s="247">
        <v>700</v>
      </c>
      <c r="E713" s="321" t="s">
        <v>1134</v>
      </c>
      <c r="F713" s="445">
        <f t="shared" si="40"/>
        <v>700</v>
      </c>
      <c r="G713" s="457">
        <f t="shared" si="38"/>
        <v>724.5</v>
      </c>
    </row>
    <row r="714" spans="1:7">
      <c r="A714" s="313"/>
      <c r="B714" s="317" t="s">
        <v>3418</v>
      </c>
      <c r="C714" s="321" t="s">
        <v>803</v>
      </c>
      <c r="D714" s="247">
        <v>200</v>
      </c>
      <c r="E714" s="321" t="s">
        <v>1134</v>
      </c>
      <c r="F714" s="445">
        <f t="shared" si="40"/>
        <v>200</v>
      </c>
      <c r="G714" s="457">
        <f t="shared" si="38"/>
        <v>207</v>
      </c>
    </row>
    <row r="715" spans="1:7">
      <c r="A715" s="313"/>
      <c r="B715" s="317" t="s">
        <v>3419</v>
      </c>
      <c r="C715" s="321" t="s">
        <v>3420</v>
      </c>
      <c r="D715" s="247">
        <v>850</v>
      </c>
      <c r="E715" s="321" t="s">
        <v>3420</v>
      </c>
      <c r="F715" s="445">
        <f t="shared" si="40"/>
        <v>850</v>
      </c>
      <c r="G715" s="457">
        <f t="shared" si="38"/>
        <v>879.75</v>
      </c>
    </row>
    <row r="716" spans="1:7">
      <c r="A716" s="313"/>
      <c r="B716" s="317" t="s">
        <v>3421</v>
      </c>
      <c r="C716" s="321" t="s">
        <v>3420</v>
      </c>
      <c r="D716" s="247">
        <v>900</v>
      </c>
      <c r="E716" s="321" t="s">
        <v>3420</v>
      </c>
      <c r="F716" s="445">
        <f t="shared" si="40"/>
        <v>900</v>
      </c>
      <c r="G716" s="457">
        <f t="shared" si="38"/>
        <v>931.5</v>
      </c>
    </row>
    <row r="717" spans="1:7">
      <c r="A717" s="313"/>
      <c r="B717" s="317" t="s">
        <v>3422</v>
      </c>
      <c r="C717" s="321" t="s">
        <v>3423</v>
      </c>
      <c r="D717" s="247">
        <v>40</v>
      </c>
      <c r="E717" s="316"/>
      <c r="F717" s="445">
        <f t="shared" si="40"/>
        <v>40</v>
      </c>
      <c r="G717" s="457">
        <f t="shared" ref="G717:G780" si="41">FLOOR(F717*1.035,0.01)</f>
        <v>41.4</v>
      </c>
    </row>
    <row r="718" spans="1:7">
      <c r="A718" s="313"/>
      <c r="B718" s="317" t="s">
        <v>3424</v>
      </c>
      <c r="C718" s="321" t="s">
        <v>3425</v>
      </c>
      <c r="D718" s="247">
        <v>2000</v>
      </c>
      <c r="E718" s="321" t="s">
        <v>3425</v>
      </c>
      <c r="F718" s="445">
        <f t="shared" si="40"/>
        <v>2000</v>
      </c>
      <c r="G718" s="457">
        <f t="shared" si="41"/>
        <v>2070</v>
      </c>
    </row>
    <row r="719" spans="1:7">
      <c r="A719" s="313"/>
      <c r="B719" s="317" t="s">
        <v>3621</v>
      </c>
      <c r="C719" s="321" t="s">
        <v>803</v>
      </c>
      <c r="D719" s="247">
        <v>412</v>
      </c>
      <c r="E719" s="321" t="s">
        <v>803</v>
      </c>
      <c r="F719" s="445">
        <f t="shared" si="40"/>
        <v>412</v>
      </c>
      <c r="G719" s="457">
        <f t="shared" si="41"/>
        <v>426.42</v>
      </c>
    </row>
    <row r="720" spans="1:7">
      <c r="A720" s="313"/>
      <c r="B720" s="284" t="s">
        <v>3622</v>
      </c>
      <c r="C720" s="321" t="s">
        <v>803</v>
      </c>
      <c r="D720" s="247">
        <v>22</v>
      </c>
      <c r="E720" s="321" t="s">
        <v>803</v>
      </c>
      <c r="F720" s="445">
        <f t="shared" si="40"/>
        <v>22</v>
      </c>
      <c r="G720" s="457">
        <f t="shared" si="41"/>
        <v>22.77</v>
      </c>
    </row>
    <row r="721" spans="1:7">
      <c r="A721" s="313"/>
      <c r="B721" s="357" t="s">
        <v>3623</v>
      </c>
      <c r="C721" s="321" t="s">
        <v>803</v>
      </c>
      <c r="D721" s="247">
        <v>65</v>
      </c>
      <c r="E721" s="321" t="s">
        <v>803</v>
      </c>
      <c r="F721" s="445">
        <f t="shared" si="40"/>
        <v>65</v>
      </c>
      <c r="G721" s="457">
        <f t="shared" si="41"/>
        <v>67.27</v>
      </c>
    </row>
    <row r="722" spans="1:7">
      <c r="A722" s="313"/>
      <c r="B722" s="357" t="s">
        <v>3624</v>
      </c>
      <c r="C722" s="321" t="s">
        <v>803</v>
      </c>
      <c r="D722" s="247">
        <v>128</v>
      </c>
      <c r="E722" s="321" t="s">
        <v>803</v>
      </c>
      <c r="F722" s="445">
        <f t="shared" si="40"/>
        <v>128</v>
      </c>
      <c r="G722" s="457">
        <f t="shared" si="41"/>
        <v>132.47999999999999</v>
      </c>
    </row>
    <row r="723" spans="1:7">
      <c r="A723" s="313"/>
      <c r="B723" s="357" t="s">
        <v>3625</v>
      </c>
      <c r="C723" s="321" t="s">
        <v>2530</v>
      </c>
      <c r="D723" s="247"/>
      <c r="E723" s="321" t="s">
        <v>2530</v>
      </c>
      <c r="F723" s="429">
        <v>1000</v>
      </c>
      <c r="G723" s="457">
        <f t="shared" si="41"/>
        <v>1035</v>
      </c>
    </row>
    <row r="724" spans="1:7">
      <c r="A724" s="313"/>
      <c r="B724" s="357" t="s">
        <v>2291</v>
      </c>
      <c r="C724" s="321" t="s">
        <v>3420</v>
      </c>
      <c r="D724" s="247"/>
      <c r="E724" s="321" t="s">
        <v>3420</v>
      </c>
      <c r="F724" s="445">
        <f>D724</f>
        <v>0</v>
      </c>
      <c r="G724" s="457">
        <f t="shared" si="41"/>
        <v>0</v>
      </c>
    </row>
    <row r="725" spans="1:7" ht="37.5">
      <c r="A725" s="340">
        <v>47</v>
      </c>
      <c r="B725" s="377" t="s">
        <v>1609</v>
      </c>
      <c r="C725" s="321"/>
      <c r="D725" s="247"/>
      <c r="E725" s="322"/>
      <c r="F725" s="429"/>
      <c r="G725" s="457">
        <f t="shared" si="41"/>
        <v>0</v>
      </c>
    </row>
    <row r="726" spans="1:7" ht="78">
      <c r="A726" s="313"/>
      <c r="B726" s="382" t="s">
        <v>3595</v>
      </c>
      <c r="C726" s="321"/>
      <c r="D726" s="247"/>
      <c r="E726" s="316"/>
      <c r="F726" s="429"/>
      <c r="G726" s="457">
        <f t="shared" si="41"/>
        <v>0</v>
      </c>
    </row>
    <row r="727" spans="1:7">
      <c r="A727" s="313"/>
      <c r="B727" s="366" t="s">
        <v>3596</v>
      </c>
      <c r="C727" s="339"/>
      <c r="D727" s="247"/>
      <c r="E727" s="316"/>
      <c r="F727" s="429"/>
      <c r="G727" s="457">
        <f t="shared" si="41"/>
        <v>0</v>
      </c>
    </row>
    <row r="728" spans="1:7">
      <c r="A728" s="313"/>
      <c r="B728" s="334" t="s">
        <v>3597</v>
      </c>
      <c r="C728" s="339" t="s">
        <v>3598</v>
      </c>
      <c r="D728" s="247"/>
      <c r="E728" s="321" t="s">
        <v>2110</v>
      </c>
      <c r="F728" s="445">
        <f t="shared" ref="F728:F734" si="42">D728</f>
        <v>0</v>
      </c>
      <c r="G728" s="457">
        <f t="shared" si="41"/>
        <v>0</v>
      </c>
    </row>
    <row r="729" spans="1:7">
      <c r="A729" s="313"/>
      <c r="B729" s="334" t="s">
        <v>3599</v>
      </c>
      <c r="C729" s="339" t="s">
        <v>1130</v>
      </c>
      <c r="D729" s="247"/>
      <c r="E729" s="321" t="s">
        <v>2110</v>
      </c>
      <c r="F729" s="445">
        <f t="shared" si="42"/>
        <v>0</v>
      </c>
      <c r="G729" s="457">
        <f t="shared" si="41"/>
        <v>0</v>
      </c>
    </row>
    <row r="730" spans="1:7">
      <c r="A730" s="313"/>
      <c r="B730" s="334" t="s">
        <v>3600</v>
      </c>
      <c r="C730" s="339" t="s">
        <v>1130</v>
      </c>
      <c r="D730" s="247"/>
      <c r="E730" s="321" t="s">
        <v>2110</v>
      </c>
      <c r="F730" s="445">
        <f t="shared" si="42"/>
        <v>0</v>
      </c>
      <c r="G730" s="457">
        <f t="shared" si="41"/>
        <v>0</v>
      </c>
    </row>
    <row r="731" spans="1:7" ht="32.25">
      <c r="A731" s="313"/>
      <c r="B731" s="334" t="s">
        <v>3601</v>
      </c>
      <c r="C731" s="339" t="s">
        <v>1130</v>
      </c>
      <c r="D731" s="247"/>
      <c r="E731" s="321" t="s">
        <v>2110</v>
      </c>
      <c r="F731" s="445">
        <f t="shared" si="42"/>
        <v>0</v>
      </c>
      <c r="G731" s="457">
        <f t="shared" si="41"/>
        <v>0</v>
      </c>
    </row>
    <row r="732" spans="1:7">
      <c r="A732" s="313"/>
      <c r="B732" s="334" t="s">
        <v>3602</v>
      </c>
      <c r="C732" s="339" t="s">
        <v>1130</v>
      </c>
      <c r="D732" s="247"/>
      <c r="E732" s="321" t="s">
        <v>2110</v>
      </c>
      <c r="F732" s="445">
        <f t="shared" si="42"/>
        <v>0</v>
      </c>
      <c r="G732" s="457">
        <f t="shared" si="41"/>
        <v>0</v>
      </c>
    </row>
    <row r="733" spans="1:7" ht="32.25">
      <c r="A733" s="313"/>
      <c r="B733" s="334" t="s">
        <v>3603</v>
      </c>
      <c r="C733" s="339" t="s">
        <v>1130</v>
      </c>
      <c r="D733" s="247"/>
      <c r="E733" s="321" t="s">
        <v>2110</v>
      </c>
      <c r="F733" s="445">
        <f t="shared" si="42"/>
        <v>0</v>
      </c>
      <c r="G733" s="457">
        <f t="shared" si="41"/>
        <v>0</v>
      </c>
    </row>
    <row r="734" spans="1:7">
      <c r="A734" s="313"/>
      <c r="B734" s="334" t="s">
        <v>3604</v>
      </c>
      <c r="C734" s="339" t="s">
        <v>1130</v>
      </c>
      <c r="D734" s="247"/>
      <c r="E734" s="321" t="s">
        <v>2110</v>
      </c>
      <c r="F734" s="445">
        <f t="shared" si="42"/>
        <v>0</v>
      </c>
      <c r="G734" s="457">
        <f t="shared" si="41"/>
        <v>0</v>
      </c>
    </row>
    <row r="735" spans="1:7">
      <c r="A735" s="313"/>
      <c r="B735" s="366" t="s">
        <v>3605</v>
      </c>
      <c r="C735" s="339"/>
      <c r="D735" s="247"/>
      <c r="E735" s="316"/>
      <c r="F735" s="429"/>
      <c r="G735" s="457">
        <f t="shared" si="41"/>
        <v>0</v>
      </c>
    </row>
    <row r="736" spans="1:7">
      <c r="A736" s="313"/>
      <c r="B736" s="334" t="s">
        <v>3597</v>
      </c>
      <c r="C736" s="339" t="s">
        <v>3598</v>
      </c>
      <c r="D736" s="247"/>
      <c r="E736" s="321" t="s">
        <v>2110</v>
      </c>
      <c r="F736" s="445">
        <f t="shared" ref="F736:F742" si="43">D736</f>
        <v>0</v>
      </c>
      <c r="G736" s="457">
        <f t="shared" si="41"/>
        <v>0</v>
      </c>
    </row>
    <row r="737" spans="1:7">
      <c r="A737" s="313"/>
      <c r="B737" s="334" t="s">
        <v>3599</v>
      </c>
      <c r="C737" s="339" t="s">
        <v>1130</v>
      </c>
      <c r="D737" s="247"/>
      <c r="E737" s="321" t="s">
        <v>2110</v>
      </c>
      <c r="F737" s="445">
        <f t="shared" si="43"/>
        <v>0</v>
      </c>
      <c r="G737" s="457">
        <f t="shared" si="41"/>
        <v>0</v>
      </c>
    </row>
    <row r="738" spans="1:7">
      <c r="A738" s="313"/>
      <c r="B738" s="334" t="s">
        <v>3600</v>
      </c>
      <c r="C738" s="339" t="s">
        <v>1130</v>
      </c>
      <c r="D738" s="247"/>
      <c r="E738" s="321" t="s">
        <v>2110</v>
      </c>
      <c r="F738" s="445">
        <f t="shared" si="43"/>
        <v>0</v>
      </c>
      <c r="G738" s="457">
        <f t="shared" si="41"/>
        <v>0</v>
      </c>
    </row>
    <row r="739" spans="1:7" ht="32.25">
      <c r="A739" s="313"/>
      <c r="B739" s="334" t="s">
        <v>3601</v>
      </c>
      <c r="C739" s="339" t="s">
        <v>1130</v>
      </c>
      <c r="D739" s="247"/>
      <c r="E739" s="321" t="s">
        <v>2110</v>
      </c>
      <c r="F739" s="445">
        <f t="shared" si="43"/>
        <v>0</v>
      </c>
      <c r="G739" s="457">
        <f t="shared" si="41"/>
        <v>0</v>
      </c>
    </row>
    <row r="740" spans="1:7">
      <c r="A740" s="313"/>
      <c r="B740" s="334" t="s">
        <v>3602</v>
      </c>
      <c r="C740" s="339" t="s">
        <v>1130</v>
      </c>
      <c r="D740" s="247"/>
      <c r="E740" s="321" t="s">
        <v>2110</v>
      </c>
      <c r="F740" s="445">
        <f t="shared" si="43"/>
        <v>0</v>
      </c>
      <c r="G740" s="457">
        <f t="shared" si="41"/>
        <v>0</v>
      </c>
    </row>
    <row r="741" spans="1:7" ht="32.25">
      <c r="A741" s="313"/>
      <c r="B741" s="334" t="s">
        <v>3603</v>
      </c>
      <c r="C741" s="339" t="s">
        <v>1130</v>
      </c>
      <c r="D741" s="247"/>
      <c r="E741" s="321" t="s">
        <v>2110</v>
      </c>
      <c r="F741" s="445">
        <f t="shared" si="43"/>
        <v>0</v>
      </c>
      <c r="G741" s="457">
        <f t="shared" si="41"/>
        <v>0</v>
      </c>
    </row>
    <row r="742" spans="1:7">
      <c r="A742" s="313"/>
      <c r="B742" s="334" t="s">
        <v>3604</v>
      </c>
      <c r="C742" s="339" t="s">
        <v>1130</v>
      </c>
      <c r="D742" s="247"/>
      <c r="E742" s="321" t="s">
        <v>2110</v>
      </c>
      <c r="F742" s="445">
        <f t="shared" si="43"/>
        <v>0</v>
      </c>
      <c r="G742" s="457">
        <f t="shared" si="41"/>
        <v>0</v>
      </c>
    </row>
    <row r="743" spans="1:7" ht="78">
      <c r="A743" s="313"/>
      <c r="B743" s="382" t="s">
        <v>3606</v>
      </c>
      <c r="C743" s="339"/>
      <c r="D743" s="247"/>
      <c r="E743" s="316"/>
      <c r="F743" s="429"/>
      <c r="G743" s="457">
        <f t="shared" si="41"/>
        <v>0</v>
      </c>
    </row>
    <row r="744" spans="1:7">
      <c r="A744" s="313"/>
      <c r="B744" s="366" t="s">
        <v>3596</v>
      </c>
      <c r="C744" s="339"/>
      <c r="D744" s="247"/>
      <c r="E744" s="316"/>
      <c r="F744" s="429"/>
      <c r="G744" s="457">
        <f t="shared" si="41"/>
        <v>0</v>
      </c>
    </row>
    <row r="745" spans="1:7">
      <c r="A745" s="313"/>
      <c r="B745" s="334" t="s">
        <v>1662</v>
      </c>
      <c r="C745" s="339" t="s">
        <v>3598</v>
      </c>
      <c r="D745" s="247">
        <v>7995</v>
      </c>
      <c r="E745" s="321" t="s">
        <v>2110</v>
      </c>
      <c r="F745" s="445">
        <f>D745</f>
        <v>7995</v>
      </c>
      <c r="G745" s="457">
        <f t="shared" si="41"/>
        <v>8274.82</v>
      </c>
    </row>
    <row r="746" spans="1:7">
      <c r="A746" s="313"/>
      <c r="B746" s="334" t="s">
        <v>1663</v>
      </c>
      <c r="C746" s="339" t="s">
        <v>1130</v>
      </c>
      <c r="D746" s="247">
        <v>7995</v>
      </c>
      <c r="E746" s="321" t="s">
        <v>2110</v>
      </c>
      <c r="F746" s="445">
        <f>D746</f>
        <v>7995</v>
      </c>
      <c r="G746" s="457">
        <f t="shared" si="41"/>
        <v>8274.82</v>
      </c>
    </row>
    <row r="747" spans="1:7">
      <c r="A747" s="313"/>
      <c r="B747" s="366" t="s">
        <v>3605</v>
      </c>
      <c r="C747" s="339"/>
      <c r="D747" s="247"/>
      <c r="E747" s="316"/>
      <c r="F747" s="445">
        <f>D747</f>
        <v>0</v>
      </c>
      <c r="G747" s="457">
        <f t="shared" si="41"/>
        <v>0</v>
      </c>
    </row>
    <row r="748" spans="1:7">
      <c r="A748" s="313"/>
      <c r="B748" s="334" t="s">
        <v>1662</v>
      </c>
      <c r="C748" s="339" t="s">
        <v>3598</v>
      </c>
      <c r="D748" s="247">
        <v>9745</v>
      </c>
      <c r="E748" s="321" t="s">
        <v>2110</v>
      </c>
      <c r="F748" s="445">
        <f>D748</f>
        <v>9745</v>
      </c>
      <c r="G748" s="457">
        <f t="shared" si="41"/>
        <v>10086.07</v>
      </c>
    </row>
    <row r="749" spans="1:7">
      <c r="A749" s="313"/>
      <c r="B749" s="334" t="s">
        <v>1663</v>
      </c>
      <c r="C749" s="339" t="s">
        <v>1130</v>
      </c>
      <c r="D749" s="247">
        <v>9745</v>
      </c>
      <c r="E749" s="321" t="s">
        <v>2110</v>
      </c>
      <c r="F749" s="445">
        <f>D749</f>
        <v>9745</v>
      </c>
      <c r="G749" s="457">
        <f t="shared" si="41"/>
        <v>10086.07</v>
      </c>
    </row>
    <row r="750" spans="1:7" ht="105" customHeight="1">
      <c r="A750" s="313"/>
      <c r="B750" s="382" t="s">
        <v>1928</v>
      </c>
      <c r="C750" s="339"/>
      <c r="D750" s="247"/>
      <c r="E750" s="316"/>
      <c r="F750" s="429"/>
      <c r="G750" s="457">
        <f t="shared" si="41"/>
        <v>0</v>
      </c>
    </row>
    <row r="751" spans="1:7">
      <c r="A751" s="313"/>
      <c r="B751" s="366" t="s">
        <v>3596</v>
      </c>
      <c r="C751" s="339"/>
      <c r="D751" s="247"/>
      <c r="E751" s="316"/>
      <c r="F751" s="429"/>
      <c r="G751" s="457">
        <f t="shared" si="41"/>
        <v>0</v>
      </c>
    </row>
    <row r="752" spans="1:7">
      <c r="A752" s="313"/>
      <c r="B752" s="334" t="s">
        <v>1929</v>
      </c>
      <c r="C752" s="339" t="s">
        <v>3598</v>
      </c>
      <c r="D752" s="247">
        <v>8470</v>
      </c>
      <c r="E752" s="321" t="s">
        <v>2110</v>
      </c>
      <c r="F752" s="445">
        <f t="shared" ref="F752:F759" si="44">D752</f>
        <v>8470</v>
      </c>
      <c r="G752" s="457">
        <f t="shared" si="41"/>
        <v>8766.4500000000007</v>
      </c>
    </row>
    <row r="753" spans="1:7">
      <c r="A753" s="313"/>
      <c r="B753" s="334" t="s">
        <v>3496</v>
      </c>
      <c r="C753" s="339" t="s">
        <v>1130</v>
      </c>
      <c r="D753" s="247">
        <v>8470</v>
      </c>
      <c r="E753" s="321" t="s">
        <v>2110</v>
      </c>
      <c r="F753" s="445">
        <f t="shared" si="44"/>
        <v>8470</v>
      </c>
      <c r="G753" s="457">
        <f t="shared" si="41"/>
        <v>8766.4500000000007</v>
      </c>
    </row>
    <row r="754" spans="1:7">
      <c r="A754" s="313"/>
      <c r="B754" s="334" t="s">
        <v>3497</v>
      </c>
      <c r="C754" s="339" t="s">
        <v>1130</v>
      </c>
      <c r="D754" s="247">
        <v>8470</v>
      </c>
      <c r="E754" s="321" t="s">
        <v>2110</v>
      </c>
      <c r="F754" s="445">
        <f t="shared" si="44"/>
        <v>8470</v>
      </c>
      <c r="G754" s="457">
        <f t="shared" si="41"/>
        <v>8766.4500000000007</v>
      </c>
    </row>
    <row r="755" spans="1:7">
      <c r="A755" s="313"/>
      <c r="B755" s="334" t="s">
        <v>3498</v>
      </c>
      <c r="C755" s="339" t="s">
        <v>1130</v>
      </c>
      <c r="D755" s="247">
        <v>8470</v>
      </c>
      <c r="E755" s="321" t="s">
        <v>2110</v>
      </c>
      <c r="F755" s="445">
        <f t="shared" si="44"/>
        <v>8470</v>
      </c>
      <c r="G755" s="457">
        <f t="shared" si="41"/>
        <v>8766.4500000000007</v>
      </c>
    </row>
    <row r="756" spans="1:7">
      <c r="A756" s="313"/>
      <c r="B756" s="334" t="s">
        <v>525</v>
      </c>
      <c r="C756" s="339" t="s">
        <v>1130</v>
      </c>
      <c r="D756" s="247">
        <v>8470</v>
      </c>
      <c r="E756" s="321" t="s">
        <v>2110</v>
      </c>
      <c r="F756" s="445">
        <f t="shared" si="44"/>
        <v>8470</v>
      </c>
      <c r="G756" s="457">
        <f t="shared" si="41"/>
        <v>8766.4500000000007</v>
      </c>
    </row>
    <row r="757" spans="1:7">
      <c r="A757" s="313"/>
      <c r="B757" s="334" t="s">
        <v>3500</v>
      </c>
      <c r="C757" s="339" t="s">
        <v>1130</v>
      </c>
      <c r="D757" s="247">
        <v>8470</v>
      </c>
      <c r="E757" s="321" t="s">
        <v>2110</v>
      </c>
      <c r="F757" s="445">
        <f t="shared" si="44"/>
        <v>8470</v>
      </c>
      <c r="G757" s="457">
        <f t="shared" si="41"/>
        <v>8766.4500000000007</v>
      </c>
    </row>
    <row r="758" spans="1:7" ht="32.25">
      <c r="A758" s="313"/>
      <c r="B758" s="334" t="s">
        <v>559</v>
      </c>
      <c r="C758" s="339" t="s">
        <v>1130</v>
      </c>
      <c r="D758" s="247">
        <v>8470</v>
      </c>
      <c r="E758" s="321" t="s">
        <v>2110</v>
      </c>
      <c r="F758" s="445">
        <f t="shared" si="44"/>
        <v>8470</v>
      </c>
      <c r="G758" s="457">
        <f t="shared" si="41"/>
        <v>8766.4500000000007</v>
      </c>
    </row>
    <row r="759" spans="1:7">
      <c r="A759" s="313"/>
      <c r="B759" s="334" t="s">
        <v>560</v>
      </c>
      <c r="C759" s="339" t="s">
        <v>1130</v>
      </c>
      <c r="D759" s="247">
        <v>8470</v>
      </c>
      <c r="E759" s="321" t="s">
        <v>2110</v>
      </c>
      <c r="F759" s="445">
        <f t="shared" si="44"/>
        <v>8470</v>
      </c>
      <c r="G759" s="457">
        <f t="shared" si="41"/>
        <v>8766.4500000000007</v>
      </c>
    </row>
    <row r="760" spans="1:7">
      <c r="A760" s="313"/>
      <c r="B760" s="366" t="s">
        <v>3605</v>
      </c>
      <c r="C760" s="339"/>
      <c r="D760" s="247"/>
      <c r="E760" s="316"/>
      <c r="F760" s="429"/>
      <c r="G760" s="457">
        <f t="shared" si="41"/>
        <v>0</v>
      </c>
    </row>
    <row r="761" spans="1:7">
      <c r="A761" s="313"/>
      <c r="B761" s="334" t="s">
        <v>1929</v>
      </c>
      <c r="C761" s="339" t="s">
        <v>3598</v>
      </c>
      <c r="D761" s="247">
        <v>10200</v>
      </c>
      <c r="E761" s="321" t="s">
        <v>2110</v>
      </c>
      <c r="F761" s="445">
        <f t="shared" ref="F761:F768" si="45">D761</f>
        <v>10200</v>
      </c>
      <c r="G761" s="457">
        <f t="shared" si="41"/>
        <v>10557</v>
      </c>
    </row>
    <row r="762" spans="1:7">
      <c r="A762" s="313"/>
      <c r="B762" s="334" t="s">
        <v>3496</v>
      </c>
      <c r="C762" s="339" t="s">
        <v>1130</v>
      </c>
      <c r="D762" s="247">
        <v>10200</v>
      </c>
      <c r="E762" s="321" t="s">
        <v>2110</v>
      </c>
      <c r="F762" s="445">
        <f t="shared" si="45"/>
        <v>10200</v>
      </c>
      <c r="G762" s="457">
        <f t="shared" si="41"/>
        <v>10557</v>
      </c>
    </row>
    <row r="763" spans="1:7">
      <c r="A763" s="313"/>
      <c r="B763" s="334" t="s">
        <v>3497</v>
      </c>
      <c r="C763" s="339" t="s">
        <v>1130</v>
      </c>
      <c r="D763" s="247">
        <v>10200</v>
      </c>
      <c r="E763" s="321" t="s">
        <v>2110</v>
      </c>
      <c r="F763" s="445">
        <f t="shared" si="45"/>
        <v>10200</v>
      </c>
      <c r="G763" s="457">
        <f t="shared" si="41"/>
        <v>10557</v>
      </c>
    </row>
    <row r="764" spans="1:7">
      <c r="A764" s="313"/>
      <c r="B764" s="334" t="s">
        <v>3498</v>
      </c>
      <c r="C764" s="339" t="s">
        <v>1130</v>
      </c>
      <c r="D764" s="247">
        <v>10200</v>
      </c>
      <c r="E764" s="321" t="s">
        <v>2110</v>
      </c>
      <c r="F764" s="445">
        <f t="shared" si="45"/>
        <v>10200</v>
      </c>
      <c r="G764" s="457">
        <f t="shared" si="41"/>
        <v>10557</v>
      </c>
    </row>
    <row r="765" spans="1:7">
      <c r="A765" s="313"/>
      <c r="B765" s="334" t="s">
        <v>525</v>
      </c>
      <c r="C765" s="339" t="s">
        <v>1130</v>
      </c>
      <c r="D765" s="247">
        <v>10200</v>
      </c>
      <c r="E765" s="321" t="s">
        <v>2110</v>
      </c>
      <c r="F765" s="445">
        <f t="shared" si="45"/>
        <v>10200</v>
      </c>
      <c r="G765" s="457">
        <f t="shared" si="41"/>
        <v>10557</v>
      </c>
    </row>
    <row r="766" spans="1:7">
      <c r="A766" s="313"/>
      <c r="B766" s="334" t="s">
        <v>3500</v>
      </c>
      <c r="C766" s="339" t="s">
        <v>1130</v>
      </c>
      <c r="D766" s="247">
        <v>10200</v>
      </c>
      <c r="E766" s="321" t="s">
        <v>2110</v>
      </c>
      <c r="F766" s="445">
        <f t="shared" si="45"/>
        <v>10200</v>
      </c>
      <c r="G766" s="457">
        <f t="shared" si="41"/>
        <v>10557</v>
      </c>
    </row>
    <row r="767" spans="1:7" ht="32.25">
      <c r="A767" s="313"/>
      <c r="B767" s="334" t="s">
        <v>559</v>
      </c>
      <c r="C767" s="339" t="s">
        <v>1130</v>
      </c>
      <c r="D767" s="247">
        <v>10200</v>
      </c>
      <c r="E767" s="321" t="s">
        <v>2110</v>
      </c>
      <c r="F767" s="445">
        <f t="shared" si="45"/>
        <v>10200</v>
      </c>
      <c r="G767" s="457">
        <f t="shared" si="41"/>
        <v>10557</v>
      </c>
    </row>
    <row r="768" spans="1:7">
      <c r="A768" s="313"/>
      <c r="B768" s="334" t="s">
        <v>560</v>
      </c>
      <c r="C768" s="339" t="s">
        <v>1130</v>
      </c>
      <c r="D768" s="247">
        <v>10200</v>
      </c>
      <c r="E768" s="321" t="s">
        <v>2110</v>
      </c>
      <c r="F768" s="445">
        <f t="shared" si="45"/>
        <v>10200</v>
      </c>
      <c r="G768" s="457">
        <f t="shared" si="41"/>
        <v>10557</v>
      </c>
    </row>
    <row r="769" spans="1:7" ht="105" customHeight="1">
      <c r="A769" s="313"/>
      <c r="B769" s="382" t="s">
        <v>561</v>
      </c>
      <c r="C769" s="339"/>
      <c r="D769" s="247"/>
      <c r="E769" s="316"/>
      <c r="F769" s="429"/>
      <c r="G769" s="457">
        <f t="shared" si="41"/>
        <v>0</v>
      </c>
    </row>
    <row r="770" spans="1:7">
      <c r="A770" s="313"/>
      <c r="B770" s="366" t="s">
        <v>3596</v>
      </c>
      <c r="C770" s="339"/>
      <c r="D770" s="247"/>
      <c r="E770" s="316"/>
      <c r="F770" s="429"/>
      <c r="G770" s="457">
        <f t="shared" si="41"/>
        <v>0</v>
      </c>
    </row>
    <row r="771" spans="1:7">
      <c r="A771" s="313"/>
      <c r="B771" s="334" t="s">
        <v>562</v>
      </c>
      <c r="C771" s="339" t="s">
        <v>3598</v>
      </c>
      <c r="D771" s="247">
        <v>8750</v>
      </c>
      <c r="E771" s="321" t="s">
        <v>2110</v>
      </c>
      <c r="F771" s="445">
        <f t="shared" ref="F771:F791" si="46">D771</f>
        <v>8750</v>
      </c>
      <c r="G771" s="457">
        <f t="shared" si="41"/>
        <v>9056.25</v>
      </c>
    </row>
    <row r="772" spans="1:7">
      <c r="A772" s="313"/>
      <c r="B772" s="334" t="s">
        <v>2510</v>
      </c>
      <c r="C772" s="339" t="s">
        <v>1130</v>
      </c>
      <c r="D772" s="247">
        <v>8750</v>
      </c>
      <c r="E772" s="321" t="s">
        <v>2110</v>
      </c>
      <c r="F772" s="445">
        <f t="shared" si="46"/>
        <v>8750</v>
      </c>
      <c r="G772" s="457">
        <f t="shared" si="41"/>
        <v>9056.25</v>
      </c>
    </row>
    <row r="773" spans="1:7" ht="32.25">
      <c r="A773" s="313"/>
      <c r="B773" s="334" t="s">
        <v>2511</v>
      </c>
      <c r="C773" s="339" t="s">
        <v>1130</v>
      </c>
      <c r="D773" s="247">
        <v>8750</v>
      </c>
      <c r="E773" s="321" t="s">
        <v>2110</v>
      </c>
      <c r="F773" s="445">
        <f t="shared" si="46"/>
        <v>8750</v>
      </c>
      <c r="G773" s="457">
        <f t="shared" si="41"/>
        <v>9056.25</v>
      </c>
    </row>
    <row r="774" spans="1:7">
      <c r="A774" s="313"/>
      <c r="B774" s="334" t="s">
        <v>2512</v>
      </c>
      <c r="C774" s="339" t="s">
        <v>1130</v>
      </c>
      <c r="D774" s="247">
        <v>8750</v>
      </c>
      <c r="E774" s="321" t="s">
        <v>2110</v>
      </c>
      <c r="F774" s="445">
        <f t="shared" si="46"/>
        <v>8750</v>
      </c>
      <c r="G774" s="457">
        <f t="shared" si="41"/>
        <v>9056.25</v>
      </c>
    </row>
    <row r="775" spans="1:7">
      <c r="A775" s="313"/>
      <c r="B775" s="334" t="s">
        <v>2513</v>
      </c>
      <c r="C775" s="339" t="s">
        <v>1130</v>
      </c>
      <c r="D775" s="247">
        <v>8750</v>
      </c>
      <c r="E775" s="321" t="s">
        <v>2110</v>
      </c>
      <c r="F775" s="445">
        <f t="shared" si="46"/>
        <v>8750</v>
      </c>
      <c r="G775" s="457">
        <f t="shared" si="41"/>
        <v>9056.25</v>
      </c>
    </row>
    <row r="776" spans="1:7" ht="32.25">
      <c r="A776" s="313"/>
      <c r="B776" s="334" t="s">
        <v>2514</v>
      </c>
      <c r="C776" s="339" t="s">
        <v>1130</v>
      </c>
      <c r="D776" s="247">
        <v>8750</v>
      </c>
      <c r="E776" s="321" t="s">
        <v>2110</v>
      </c>
      <c r="F776" s="445">
        <f t="shared" si="46"/>
        <v>8750</v>
      </c>
      <c r="G776" s="457">
        <f t="shared" si="41"/>
        <v>9056.25</v>
      </c>
    </row>
    <row r="777" spans="1:7">
      <c r="A777" s="313"/>
      <c r="B777" s="334" t="s">
        <v>2515</v>
      </c>
      <c r="C777" s="339" t="s">
        <v>1130</v>
      </c>
      <c r="D777" s="247">
        <v>8750</v>
      </c>
      <c r="E777" s="321" t="s">
        <v>2110</v>
      </c>
      <c r="F777" s="445">
        <f t="shared" si="46"/>
        <v>8750</v>
      </c>
      <c r="G777" s="457">
        <f t="shared" si="41"/>
        <v>9056.25</v>
      </c>
    </row>
    <row r="778" spans="1:7" ht="32.25">
      <c r="A778" s="313"/>
      <c r="B778" s="334" t="s">
        <v>1932</v>
      </c>
      <c r="C778" s="339" t="s">
        <v>1130</v>
      </c>
      <c r="D778" s="247">
        <v>8750</v>
      </c>
      <c r="E778" s="321" t="s">
        <v>2110</v>
      </c>
      <c r="F778" s="445">
        <f t="shared" si="46"/>
        <v>8750</v>
      </c>
      <c r="G778" s="457">
        <f t="shared" si="41"/>
        <v>9056.25</v>
      </c>
    </row>
    <row r="779" spans="1:7">
      <c r="A779" s="313"/>
      <c r="B779" s="334" t="s">
        <v>1933</v>
      </c>
      <c r="C779" s="339" t="s">
        <v>1130</v>
      </c>
      <c r="D779" s="247">
        <v>8750</v>
      </c>
      <c r="E779" s="321" t="s">
        <v>2110</v>
      </c>
      <c r="F779" s="445">
        <f t="shared" si="46"/>
        <v>8750</v>
      </c>
      <c r="G779" s="457">
        <f t="shared" si="41"/>
        <v>9056.25</v>
      </c>
    </row>
    <row r="780" spans="1:7" ht="32.25">
      <c r="A780" s="313"/>
      <c r="B780" s="334" t="s">
        <v>1934</v>
      </c>
      <c r="C780" s="339" t="s">
        <v>1130</v>
      </c>
      <c r="D780" s="247">
        <v>8750</v>
      </c>
      <c r="E780" s="321" t="s">
        <v>2110</v>
      </c>
      <c r="F780" s="445">
        <f t="shared" si="46"/>
        <v>8750</v>
      </c>
      <c r="G780" s="457">
        <f t="shared" si="41"/>
        <v>9056.25</v>
      </c>
    </row>
    <row r="781" spans="1:7">
      <c r="A781" s="313"/>
      <c r="B781" s="366" t="s">
        <v>1935</v>
      </c>
      <c r="C781" s="339"/>
      <c r="D781" s="247"/>
      <c r="E781" s="316"/>
      <c r="F781" s="445"/>
      <c r="G781" s="457">
        <f t="shared" ref="G781:G844" si="47">FLOOR(F781*1.035,0.01)</f>
        <v>0</v>
      </c>
    </row>
    <row r="782" spans="1:7">
      <c r="A782" s="313"/>
      <c r="B782" s="334" t="s">
        <v>562</v>
      </c>
      <c r="C782" s="339" t="s">
        <v>3598</v>
      </c>
      <c r="D782" s="247">
        <v>10835</v>
      </c>
      <c r="E782" s="321" t="s">
        <v>2110</v>
      </c>
      <c r="F782" s="445">
        <f t="shared" si="46"/>
        <v>10835</v>
      </c>
      <c r="G782" s="457">
        <f t="shared" si="47"/>
        <v>11214.22</v>
      </c>
    </row>
    <row r="783" spans="1:7">
      <c r="A783" s="313"/>
      <c r="B783" s="334" t="s">
        <v>2510</v>
      </c>
      <c r="C783" s="339" t="s">
        <v>1130</v>
      </c>
      <c r="D783" s="247">
        <v>10835</v>
      </c>
      <c r="E783" s="321" t="s">
        <v>2110</v>
      </c>
      <c r="F783" s="445">
        <f t="shared" si="46"/>
        <v>10835</v>
      </c>
      <c r="G783" s="457">
        <f t="shared" si="47"/>
        <v>11214.22</v>
      </c>
    </row>
    <row r="784" spans="1:7" ht="32.25">
      <c r="A784" s="313"/>
      <c r="B784" s="334" t="s">
        <v>2511</v>
      </c>
      <c r="C784" s="339" t="s">
        <v>1130</v>
      </c>
      <c r="D784" s="247">
        <v>10835</v>
      </c>
      <c r="E784" s="321" t="s">
        <v>2110</v>
      </c>
      <c r="F784" s="445">
        <f t="shared" si="46"/>
        <v>10835</v>
      </c>
      <c r="G784" s="457">
        <f t="shared" si="47"/>
        <v>11214.22</v>
      </c>
    </row>
    <row r="785" spans="1:7">
      <c r="A785" s="313"/>
      <c r="B785" s="334" t="s">
        <v>2512</v>
      </c>
      <c r="C785" s="339" t="s">
        <v>1130</v>
      </c>
      <c r="D785" s="247">
        <v>10835</v>
      </c>
      <c r="E785" s="321" t="s">
        <v>2110</v>
      </c>
      <c r="F785" s="445">
        <f t="shared" si="46"/>
        <v>10835</v>
      </c>
      <c r="G785" s="457">
        <f t="shared" si="47"/>
        <v>11214.22</v>
      </c>
    </row>
    <row r="786" spans="1:7">
      <c r="A786" s="313"/>
      <c r="B786" s="334" t="s">
        <v>2513</v>
      </c>
      <c r="C786" s="339" t="s">
        <v>1130</v>
      </c>
      <c r="D786" s="247">
        <v>10835</v>
      </c>
      <c r="E786" s="321" t="s">
        <v>2110</v>
      </c>
      <c r="F786" s="445">
        <f t="shared" si="46"/>
        <v>10835</v>
      </c>
      <c r="G786" s="457">
        <f t="shared" si="47"/>
        <v>11214.22</v>
      </c>
    </row>
    <row r="787" spans="1:7" ht="32.25">
      <c r="A787" s="313"/>
      <c r="B787" s="334" t="s">
        <v>2514</v>
      </c>
      <c r="C787" s="339" t="s">
        <v>1130</v>
      </c>
      <c r="D787" s="247">
        <v>10835</v>
      </c>
      <c r="E787" s="321" t="s">
        <v>2110</v>
      </c>
      <c r="F787" s="445">
        <f t="shared" si="46"/>
        <v>10835</v>
      </c>
      <c r="G787" s="457">
        <f t="shared" si="47"/>
        <v>11214.22</v>
      </c>
    </row>
    <row r="788" spans="1:7">
      <c r="A788" s="313"/>
      <c r="B788" s="334" t="s">
        <v>2515</v>
      </c>
      <c r="C788" s="339" t="s">
        <v>1130</v>
      </c>
      <c r="D788" s="247">
        <v>10835</v>
      </c>
      <c r="E788" s="321" t="s">
        <v>2110</v>
      </c>
      <c r="F788" s="445">
        <f t="shared" si="46"/>
        <v>10835</v>
      </c>
      <c r="G788" s="457">
        <f t="shared" si="47"/>
        <v>11214.22</v>
      </c>
    </row>
    <row r="789" spans="1:7" ht="32.25">
      <c r="A789" s="313"/>
      <c r="B789" s="334" t="s">
        <v>1932</v>
      </c>
      <c r="C789" s="339" t="s">
        <v>1130</v>
      </c>
      <c r="D789" s="247">
        <v>10835</v>
      </c>
      <c r="E789" s="321" t="s">
        <v>2110</v>
      </c>
      <c r="F789" s="445">
        <f t="shared" si="46"/>
        <v>10835</v>
      </c>
      <c r="G789" s="457">
        <f t="shared" si="47"/>
        <v>11214.22</v>
      </c>
    </row>
    <row r="790" spans="1:7">
      <c r="A790" s="313"/>
      <c r="B790" s="334" t="s">
        <v>1933</v>
      </c>
      <c r="C790" s="339" t="s">
        <v>1130</v>
      </c>
      <c r="D790" s="247">
        <v>10835</v>
      </c>
      <c r="E790" s="321" t="s">
        <v>2110</v>
      </c>
      <c r="F790" s="445">
        <f t="shared" si="46"/>
        <v>10835</v>
      </c>
      <c r="G790" s="457">
        <f t="shared" si="47"/>
        <v>11214.22</v>
      </c>
    </row>
    <row r="791" spans="1:7" ht="32.25">
      <c r="A791" s="313"/>
      <c r="B791" s="334" t="s">
        <v>1934</v>
      </c>
      <c r="C791" s="339" t="s">
        <v>1130</v>
      </c>
      <c r="D791" s="247">
        <v>10835</v>
      </c>
      <c r="E791" s="321" t="s">
        <v>2110</v>
      </c>
      <c r="F791" s="445">
        <f t="shared" si="46"/>
        <v>10835</v>
      </c>
      <c r="G791" s="457">
        <f t="shared" si="47"/>
        <v>11214.22</v>
      </c>
    </row>
    <row r="792" spans="1:7" ht="105.75" customHeight="1">
      <c r="A792" s="313"/>
      <c r="B792" s="382" t="s">
        <v>1495</v>
      </c>
      <c r="C792" s="339"/>
      <c r="D792" s="247"/>
      <c r="E792" s="316"/>
      <c r="F792" s="445"/>
      <c r="G792" s="457">
        <f t="shared" si="47"/>
        <v>0</v>
      </c>
    </row>
    <row r="793" spans="1:7">
      <c r="A793" s="313"/>
      <c r="B793" s="366" t="s">
        <v>3596</v>
      </c>
      <c r="C793" s="339"/>
      <c r="D793" s="247"/>
      <c r="E793" s="316"/>
      <c r="F793" s="445"/>
      <c r="G793" s="457">
        <f t="shared" si="47"/>
        <v>0</v>
      </c>
    </row>
    <row r="794" spans="1:7">
      <c r="A794" s="313"/>
      <c r="B794" s="334" t="s">
        <v>1496</v>
      </c>
      <c r="C794" s="339" t="s">
        <v>3598</v>
      </c>
      <c r="D794" s="247">
        <v>7855</v>
      </c>
      <c r="E794" s="321" t="s">
        <v>2110</v>
      </c>
      <c r="F794" s="445">
        <f>D794</f>
        <v>7855</v>
      </c>
      <c r="G794" s="457">
        <f t="shared" si="47"/>
        <v>8129.92</v>
      </c>
    </row>
    <row r="795" spans="1:7">
      <c r="A795" s="313"/>
      <c r="B795" s="334" t="s">
        <v>1497</v>
      </c>
      <c r="C795" s="339" t="s">
        <v>1130</v>
      </c>
      <c r="D795" s="247">
        <v>7855</v>
      </c>
      <c r="E795" s="321" t="s">
        <v>2110</v>
      </c>
      <c r="F795" s="445">
        <f>D795</f>
        <v>7855</v>
      </c>
      <c r="G795" s="457">
        <f t="shared" si="47"/>
        <v>8129.92</v>
      </c>
    </row>
    <row r="796" spans="1:7">
      <c r="A796" s="313"/>
      <c r="B796" s="334" t="s">
        <v>1498</v>
      </c>
      <c r="C796" s="339" t="s">
        <v>1130</v>
      </c>
      <c r="D796" s="247">
        <v>7855</v>
      </c>
      <c r="E796" s="321" t="s">
        <v>2110</v>
      </c>
      <c r="F796" s="445">
        <f>D796</f>
        <v>7855</v>
      </c>
      <c r="G796" s="457">
        <f t="shared" si="47"/>
        <v>8129.92</v>
      </c>
    </row>
    <row r="797" spans="1:7">
      <c r="A797" s="313"/>
      <c r="B797" s="334" t="s">
        <v>1499</v>
      </c>
      <c r="C797" s="339" t="s">
        <v>1130</v>
      </c>
      <c r="D797" s="247">
        <v>7855</v>
      </c>
      <c r="E797" s="321" t="s">
        <v>2110</v>
      </c>
      <c r="F797" s="445">
        <f>D797</f>
        <v>7855</v>
      </c>
      <c r="G797" s="457">
        <f t="shared" si="47"/>
        <v>8129.92</v>
      </c>
    </row>
    <row r="798" spans="1:7">
      <c r="A798" s="313"/>
      <c r="B798" s="366" t="s">
        <v>3605</v>
      </c>
      <c r="C798" s="339"/>
      <c r="D798" s="247"/>
      <c r="E798" s="316"/>
      <c r="F798" s="445"/>
      <c r="G798" s="457">
        <f t="shared" si="47"/>
        <v>0</v>
      </c>
    </row>
    <row r="799" spans="1:7">
      <c r="A799" s="313"/>
      <c r="B799" s="334" t="s">
        <v>1496</v>
      </c>
      <c r="C799" s="339" t="s">
        <v>3598</v>
      </c>
      <c r="D799" s="247">
        <v>9015</v>
      </c>
      <c r="E799" s="321" t="s">
        <v>2110</v>
      </c>
      <c r="F799" s="445">
        <f>D799</f>
        <v>9015</v>
      </c>
      <c r="G799" s="457">
        <f t="shared" si="47"/>
        <v>9330.52</v>
      </c>
    </row>
    <row r="800" spans="1:7">
      <c r="A800" s="313"/>
      <c r="B800" s="334" t="s">
        <v>1497</v>
      </c>
      <c r="C800" s="339" t="s">
        <v>1130</v>
      </c>
      <c r="D800" s="247">
        <v>9015</v>
      </c>
      <c r="E800" s="321" t="s">
        <v>2110</v>
      </c>
      <c r="F800" s="445">
        <f>D800</f>
        <v>9015</v>
      </c>
      <c r="G800" s="457">
        <f t="shared" si="47"/>
        <v>9330.52</v>
      </c>
    </row>
    <row r="801" spans="1:7">
      <c r="A801" s="313"/>
      <c r="B801" s="334" t="s">
        <v>1498</v>
      </c>
      <c r="C801" s="339" t="s">
        <v>1130</v>
      </c>
      <c r="D801" s="247">
        <v>9015</v>
      </c>
      <c r="E801" s="321" t="s">
        <v>2110</v>
      </c>
      <c r="F801" s="445">
        <f>D801</f>
        <v>9015</v>
      </c>
      <c r="G801" s="457">
        <f t="shared" si="47"/>
        <v>9330.52</v>
      </c>
    </row>
    <row r="802" spans="1:7">
      <c r="A802" s="313"/>
      <c r="B802" s="334" t="s">
        <v>1499</v>
      </c>
      <c r="C802" s="339" t="s">
        <v>1130</v>
      </c>
      <c r="D802" s="247">
        <v>9015</v>
      </c>
      <c r="E802" s="321" t="s">
        <v>2110</v>
      </c>
      <c r="F802" s="445">
        <f>D802</f>
        <v>9015</v>
      </c>
      <c r="G802" s="457">
        <f t="shared" si="47"/>
        <v>9330.52</v>
      </c>
    </row>
    <row r="803" spans="1:7" ht="54" customHeight="1">
      <c r="A803" s="313"/>
      <c r="B803" s="382" t="s">
        <v>2488</v>
      </c>
      <c r="C803" s="321"/>
      <c r="D803" s="247"/>
      <c r="E803" s="316"/>
      <c r="F803" s="445"/>
      <c r="G803" s="457">
        <f t="shared" si="47"/>
        <v>0</v>
      </c>
    </row>
    <row r="804" spans="1:7">
      <c r="A804" s="313"/>
      <c r="B804" s="366" t="s">
        <v>3596</v>
      </c>
      <c r="C804" s="321"/>
      <c r="D804" s="247"/>
      <c r="E804" s="316"/>
      <c r="F804" s="445"/>
      <c r="G804" s="457">
        <f t="shared" si="47"/>
        <v>0</v>
      </c>
    </row>
    <row r="805" spans="1:7">
      <c r="A805" s="313"/>
      <c r="B805" s="382" t="s">
        <v>2489</v>
      </c>
      <c r="C805" s="339" t="s">
        <v>3598</v>
      </c>
      <c r="D805" s="247">
        <v>5510</v>
      </c>
      <c r="E805" s="321" t="s">
        <v>2110</v>
      </c>
      <c r="F805" s="445">
        <f>D805</f>
        <v>5510</v>
      </c>
      <c r="G805" s="457">
        <f t="shared" si="47"/>
        <v>5702.85</v>
      </c>
    </row>
    <row r="806" spans="1:7" ht="27">
      <c r="A806" s="313"/>
      <c r="B806" s="382" t="s">
        <v>2490</v>
      </c>
      <c r="C806" s="339" t="s">
        <v>1130</v>
      </c>
      <c r="D806" s="247">
        <v>5510</v>
      </c>
      <c r="E806" s="321" t="s">
        <v>2110</v>
      </c>
      <c r="F806" s="445">
        <f>D806</f>
        <v>5510</v>
      </c>
      <c r="G806" s="457">
        <f t="shared" si="47"/>
        <v>5702.85</v>
      </c>
    </row>
    <row r="807" spans="1:7" ht="27">
      <c r="A807" s="313"/>
      <c r="B807" s="382" t="s">
        <v>2491</v>
      </c>
      <c r="C807" s="339" t="s">
        <v>1130</v>
      </c>
      <c r="D807" s="247">
        <v>5510</v>
      </c>
      <c r="E807" s="321" t="s">
        <v>2110</v>
      </c>
      <c r="F807" s="445">
        <f>D807</f>
        <v>5510</v>
      </c>
      <c r="G807" s="457">
        <f t="shared" si="47"/>
        <v>5702.85</v>
      </c>
    </row>
    <row r="808" spans="1:7" ht="32.25">
      <c r="A808" s="313"/>
      <c r="B808" s="334" t="s">
        <v>2492</v>
      </c>
      <c r="C808" s="339" t="s">
        <v>1130</v>
      </c>
      <c r="D808" s="247">
        <v>5510</v>
      </c>
      <c r="E808" s="321" t="s">
        <v>2110</v>
      </c>
      <c r="F808" s="445">
        <f>D808</f>
        <v>5510</v>
      </c>
      <c r="G808" s="457">
        <f t="shared" si="47"/>
        <v>5702.85</v>
      </c>
    </row>
    <row r="809" spans="1:7" ht="95.25">
      <c r="A809" s="313"/>
      <c r="B809" s="383" t="s">
        <v>1610</v>
      </c>
      <c r="C809" s="384"/>
      <c r="D809" s="247"/>
      <c r="E809" s="316"/>
      <c r="F809" s="445"/>
      <c r="G809" s="457">
        <f t="shared" si="47"/>
        <v>0</v>
      </c>
    </row>
    <row r="810" spans="1:7" ht="27">
      <c r="A810" s="340"/>
      <c r="B810" s="349" t="s">
        <v>2493</v>
      </c>
      <c r="C810" s="327" t="s">
        <v>3598</v>
      </c>
      <c r="D810" s="247">
        <v>7203</v>
      </c>
      <c r="E810" s="321" t="s">
        <v>2110</v>
      </c>
      <c r="F810" s="445">
        <f t="shared" ref="F810:F821" si="48">D810</f>
        <v>7203</v>
      </c>
      <c r="G810" s="457">
        <f t="shared" si="47"/>
        <v>7455.1</v>
      </c>
    </row>
    <row r="811" spans="1:7" ht="27">
      <c r="A811" s="340"/>
      <c r="B811" s="349" t="s">
        <v>2020</v>
      </c>
      <c r="C811" s="327" t="s">
        <v>1130</v>
      </c>
      <c r="D811" s="247">
        <v>9895</v>
      </c>
      <c r="E811" s="321" t="s">
        <v>2110</v>
      </c>
      <c r="F811" s="445">
        <f t="shared" si="48"/>
        <v>9895</v>
      </c>
      <c r="G811" s="457">
        <f t="shared" si="47"/>
        <v>10241.32</v>
      </c>
    </row>
    <row r="812" spans="1:7" ht="39.75">
      <c r="A812" s="340"/>
      <c r="B812" s="349" t="s">
        <v>2021</v>
      </c>
      <c r="C812" s="327" t="s">
        <v>1130</v>
      </c>
      <c r="D812" s="247">
        <v>6705</v>
      </c>
      <c r="E812" s="321" t="s">
        <v>2110</v>
      </c>
      <c r="F812" s="445">
        <f t="shared" si="48"/>
        <v>6705</v>
      </c>
      <c r="G812" s="457">
        <f t="shared" si="47"/>
        <v>6939.67</v>
      </c>
    </row>
    <row r="813" spans="1:7" ht="33" customHeight="1">
      <c r="A813" s="340"/>
      <c r="B813" s="349" t="s">
        <v>2022</v>
      </c>
      <c r="C813" s="327" t="s">
        <v>1130</v>
      </c>
      <c r="D813" s="247">
        <v>6705</v>
      </c>
      <c r="E813" s="321" t="s">
        <v>2110</v>
      </c>
      <c r="F813" s="445">
        <f t="shared" si="48"/>
        <v>6705</v>
      </c>
      <c r="G813" s="457">
        <f t="shared" si="47"/>
        <v>6939.67</v>
      </c>
    </row>
    <row r="814" spans="1:7" ht="39.75">
      <c r="A814" s="340"/>
      <c r="B814" s="349" t="s">
        <v>2565</v>
      </c>
      <c r="C814" s="327" t="s">
        <v>1130</v>
      </c>
      <c r="D814" s="247">
        <v>6700</v>
      </c>
      <c r="E814" s="321" t="s">
        <v>2110</v>
      </c>
      <c r="F814" s="445">
        <f t="shared" si="48"/>
        <v>6700</v>
      </c>
      <c r="G814" s="457">
        <f t="shared" si="47"/>
        <v>6934.5</v>
      </c>
    </row>
    <row r="815" spans="1:7" ht="39.75">
      <c r="A815" s="340"/>
      <c r="B815" s="349" t="s">
        <v>2566</v>
      </c>
      <c r="C815" s="327" t="s">
        <v>1130</v>
      </c>
      <c r="D815" s="247">
        <v>7100</v>
      </c>
      <c r="E815" s="321" t="s">
        <v>2110</v>
      </c>
      <c r="F815" s="445">
        <f t="shared" si="48"/>
        <v>7100</v>
      </c>
      <c r="G815" s="457">
        <f t="shared" si="47"/>
        <v>7348.5</v>
      </c>
    </row>
    <row r="816" spans="1:7" ht="39.75">
      <c r="A816" s="340"/>
      <c r="B816" s="349" t="s">
        <v>2566</v>
      </c>
      <c r="C816" s="327" t="s">
        <v>1130</v>
      </c>
      <c r="D816" s="247">
        <v>6705</v>
      </c>
      <c r="E816" s="321" t="s">
        <v>2110</v>
      </c>
      <c r="F816" s="445">
        <f t="shared" si="48"/>
        <v>6705</v>
      </c>
      <c r="G816" s="457">
        <f t="shared" si="47"/>
        <v>6939.67</v>
      </c>
    </row>
    <row r="817" spans="1:7" ht="27">
      <c r="A817" s="340"/>
      <c r="B817" s="349" t="s">
        <v>2567</v>
      </c>
      <c r="C817" s="327" t="s">
        <v>1130</v>
      </c>
      <c r="D817" s="247">
        <v>6315</v>
      </c>
      <c r="E817" s="321" t="s">
        <v>2110</v>
      </c>
      <c r="F817" s="445">
        <f t="shared" si="48"/>
        <v>6315</v>
      </c>
      <c r="G817" s="457">
        <f t="shared" si="47"/>
        <v>6536.02</v>
      </c>
    </row>
    <row r="818" spans="1:7" ht="27">
      <c r="A818" s="340"/>
      <c r="B818" s="349" t="s">
        <v>2568</v>
      </c>
      <c r="C818" s="327" t="s">
        <v>1130</v>
      </c>
      <c r="D818" s="247">
        <v>6275</v>
      </c>
      <c r="E818" s="321" t="s">
        <v>2110</v>
      </c>
      <c r="F818" s="445">
        <f t="shared" si="48"/>
        <v>6275</v>
      </c>
      <c r="G818" s="457">
        <f t="shared" si="47"/>
        <v>6494.62</v>
      </c>
    </row>
    <row r="819" spans="1:7" ht="27">
      <c r="A819" s="340"/>
      <c r="B819" s="349" t="s">
        <v>2569</v>
      </c>
      <c r="C819" s="327" t="s">
        <v>1130</v>
      </c>
      <c r="D819" s="247">
        <v>6575</v>
      </c>
      <c r="E819" s="321" t="s">
        <v>2110</v>
      </c>
      <c r="F819" s="445">
        <f t="shared" si="48"/>
        <v>6575</v>
      </c>
      <c r="G819" s="457">
        <f t="shared" si="47"/>
        <v>6805.12</v>
      </c>
    </row>
    <row r="820" spans="1:7" ht="27">
      <c r="A820" s="340"/>
      <c r="B820" s="349" t="s">
        <v>2570</v>
      </c>
      <c r="C820" s="327" t="s">
        <v>1130</v>
      </c>
      <c r="D820" s="247">
        <v>5663</v>
      </c>
      <c r="E820" s="321" t="s">
        <v>2110</v>
      </c>
      <c r="F820" s="445">
        <f t="shared" si="48"/>
        <v>5663</v>
      </c>
      <c r="G820" s="457">
        <f t="shared" si="47"/>
        <v>5861.2</v>
      </c>
    </row>
    <row r="821" spans="1:7" ht="27">
      <c r="A821" s="340"/>
      <c r="B821" s="349" t="s">
        <v>2571</v>
      </c>
      <c r="C821" s="327" t="s">
        <v>1130</v>
      </c>
      <c r="D821" s="247">
        <v>8050</v>
      </c>
      <c r="E821" s="321" t="s">
        <v>2110</v>
      </c>
      <c r="F821" s="445">
        <f t="shared" si="48"/>
        <v>8050</v>
      </c>
      <c r="G821" s="457">
        <f t="shared" si="47"/>
        <v>8331.75</v>
      </c>
    </row>
    <row r="822" spans="1:7" ht="36.75">
      <c r="A822" s="340">
        <v>48</v>
      </c>
      <c r="B822" s="385" t="s">
        <v>2572</v>
      </c>
      <c r="C822" s="321"/>
      <c r="D822" s="247"/>
      <c r="E822" s="316"/>
      <c r="F822" s="429"/>
      <c r="G822" s="457">
        <f t="shared" si="47"/>
        <v>0</v>
      </c>
    </row>
    <row r="823" spans="1:7" ht="32.25">
      <c r="A823" s="313"/>
      <c r="B823" s="334" t="s">
        <v>2573</v>
      </c>
      <c r="C823" s="321"/>
      <c r="D823" s="247"/>
      <c r="E823" s="316"/>
      <c r="F823" s="429"/>
      <c r="G823" s="457">
        <f t="shared" si="47"/>
        <v>0</v>
      </c>
    </row>
    <row r="824" spans="1:7" ht="19.5">
      <c r="A824" s="313"/>
      <c r="B824" s="334" t="s">
        <v>1611</v>
      </c>
      <c r="C824" s="321" t="s">
        <v>3347</v>
      </c>
      <c r="D824" s="247">
        <v>189.56</v>
      </c>
      <c r="E824" s="316"/>
      <c r="F824" s="429"/>
      <c r="G824" s="457">
        <f t="shared" si="47"/>
        <v>0</v>
      </c>
    </row>
    <row r="825" spans="1:7" ht="19.5">
      <c r="A825" s="313"/>
      <c r="B825" s="334" t="s">
        <v>1612</v>
      </c>
      <c r="C825" s="321" t="s">
        <v>1136</v>
      </c>
      <c r="D825" s="247"/>
      <c r="E825" s="316"/>
      <c r="F825" s="429"/>
      <c r="G825" s="457">
        <f t="shared" si="47"/>
        <v>0</v>
      </c>
    </row>
    <row r="826" spans="1:7" ht="19.5">
      <c r="A826" s="313"/>
      <c r="B826" s="334" t="s">
        <v>2597</v>
      </c>
      <c r="C826" s="321" t="s">
        <v>1136</v>
      </c>
      <c r="D826" s="247"/>
      <c r="E826" s="316"/>
      <c r="F826" s="429"/>
      <c r="G826" s="457">
        <f t="shared" si="47"/>
        <v>0</v>
      </c>
    </row>
    <row r="827" spans="1:7" ht="19.5">
      <c r="A827" s="313"/>
      <c r="B827" s="334" t="s">
        <v>2598</v>
      </c>
      <c r="C827" s="339" t="s">
        <v>1130</v>
      </c>
      <c r="D827" s="247"/>
      <c r="E827" s="316"/>
      <c r="F827" s="429"/>
      <c r="G827" s="457">
        <f t="shared" si="47"/>
        <v>0</v>
      </c>
    </row>
    <row r="828" spans="1:7" ht="32.25">
      <c r="A828" s="313"/>
      <c r="B828" s="334" t="s">
        <v>2574</v>
      </c>
      <c r="C828" s="339"/>
      <c r="D828" s="247"/>
      <c r="E828" s="316"/>
      <c r="F828" s="429"/>
      <c r="G828" s="457">
        <f t="shared" si="47"/>
        <v>0</v>
      </c>
    </row>
    <row r="829" spans="1:7" ht="19.5">
      <c r="A829" s="313"/>
      <c r="B829" s="334" t="s">
        <v>2599</v>
      </c>
      <c r="C829" s="321" t="s">
        <v>3347</v>
      </c>
      <c r="D829" s="247">
        <v>157.44</v>
      </c>
      <c r="E829" s="316"/>
      <c r="F829" s="429"/>
      <c r="G829" s="457">
        <f t="shared" si="47"/>
        <v>0</v>
      </c>
    </row>
    <row r="830" spans="1:7" ht="19.5">
      <c r="A830" s="313"/>
      <c r="B830" s="334" t="s">
        <v>2600</v>
      </c>
      <c r="C830" s="321" t="s">
        <v>1136</v>
      </c>
      <c r="D830" s="247"/>
      <c r="E830" s="316"/>
      <c r="F830" s="429"/>
      <c r="G830" s="457">
        <f t="shared" si="47"/>
        <v>0</v>
      </c>
    </row>
    <row r="831" spans="1:7" ht="19.5">
      <c r="A831" s="313"/>
      <c r="B831" s="334" t="s">
        <v>3331</v>
      </c>
      <c r="C831" s="339" t="s">
        <v>1130</v>
      </c>
      <c r="D831" s="247"/>
      <c r="E831" s="316"/>
      <c r="F831" s="429"/>
      <c r="G831" s="457">
        <f t="shared" si="47"/>
        <v>0</v>
      </c>
    </row>
    <row r="832" spans="1:7" ht="19.5">
      <c r="A832" s="313"/>
      <c r="B832" s="334" t="s">
        <v>3332</v>
      </c>
      <c r="C832" s="321" t="s">
        <v>1136</v>
      </c>
      <c r="D832" s="247"/>
      <c r="E832" s="316"/>
      <c r="F832" s="429"/>
      <c r="G832" s="457">
        <f t="shared" si="47"/>
        <v>0</v>
      </c>
    </row>
    <row r="833" spans="1:7" ht="32.25">
      <c r="A833" s="313"/>
      <c r="B833" s="334" t="s">
        <v>2804</v>
      </c>
      <c r="C833" s="321"/>
      <c r="D833" s="247"/>
      <c r="E833" s="316"/>
      <c r="F833" s="429"/>
      <c r="G833" s="457">
        <f t="shared" si="47"/>
        <v>0</v>
      </c>
    </row>
    <row r="834" spans="1:7" ht="19.5">
      <c r="A834" s="313"/>
      <c r="B834" s="334" t="s">
        <v>1068</v>
      </c>
      <c r="C834" s="321" t="s">
        <v>1099</v>
      </c>
      <c r="D834" s="247">
        <v>248.75</v>
      </c>
      <c r="E834" s="316"/>
      <c r="F834" s="429"/>
      <c r="G834" s="457">
        <f t="shared" si="47"/>
        <v>0</v>
      </c>
    </row>
    <row r="835" spans="1:7" ht="19.5">
      <c r="A835" s="313"/>
      <c r="B835" s="334" t="s">
        <v>960</v>
      </c>
      <c r="C835" s="321" t="s">
        <v>1136</v>
      </c>
      <c r="D835" s="247"/>
      <c r="E835" s="316"/>
      <c r="F835" s="429"/>
      <c r="G835" s="457">
        <f t="shared" si="47"/>
        <v>0</v>
      </c>
    </row>
    <row r="836" spans="1:7" ht="19.5">
      <c r="A836" s="313"/>
      <c r="B836" s="334" t="s">
        <v>961</v>
      </c>
      <c r="C836" s="339" t="s">
        <v>1130</v>
      </c>
      <c r="D836" s="247"/>
      <c r="E836" s="316"/>
      <c r="F836" s="429"/>
      <c r="G836" s="457">
        <f t="shared" si="47"/>
        <v>0</v>
      </c>
    </row>
    <row r="837" spans="1:7" ht="19.5">
      <c r="A837" s="313"/>
      <c r="B837" s="334" t="s">
        <v>962</v>
      </c>
      <c r="C837" s="321" t="s">
        <v>1136</v>
      </c>
      <c r="D837" s="247"/>
      <c r="E837" s="316"/>
      <c r="F837" s="429"/>
      <c r="G837" s="457">
        <f t="shared" si="47"/>
        <v>0</v>
      </c>
    </row>
    <row r="838" spans="1:7" ht="32.25">
      <c r="A838" s="313"/>
      <c r="B838" s="334" t="s">
        <v>2805</v>
      </c>
      <c r="C838" s="321"/>
      <c r="D838" s="247"/>
      <c r="E838" s="316"/>
      <c r="F838" s="429"/>
      <c r="G838" s="457">
        <f t="shared" si="47"/>
        <v>0</v>
      </c>
    </row>
    <row r="839" spans="1:7" ht="35.25">
      <c r="A839" s="313"/>
      <c r="B839" s="334" t="s">
        <v>963</v>
      </c>
      <c r="C839" s="321" t="s">
        <v>1099</v>
      </c>
      <c r="D839" s="247"/>
      <c r="E839" s="316"/>
      <c r="F839" s="429"/>
      <c r="G839" s="457">
        <f t="shared" si="47"/>
        <v>0</v>
      </c>
    </row>
    <row r="840" spans="1:7" ht="19.5">
      <c r="A840" s="313"/>
      <c r="B840" s="334" t="s">
        <v>2600</v>
      </c>
      <c r="C840" s="339" t="s">
        <v>1130</v>
      </c>
      <c r="D840" s="247">
        <v>167.05</v>
      </c>
      <c r="E840" s="316"/>
      <c r="F840" s="429"/>
      <c r="G840" s="457">
        <f t="shared" si="47"/>
        <v>0</v>
      </c>
    </row>
    <row r="841" spans="1:7" ht="19.5">
      <c r="A841" s="313"/>
      <c r="B841" s="334" t="s">
        <v>3331</v>
      </c>
      <c r="C841" s="321" t="s">
        <v>1136</v>
      </c>
      <c r="D841" s="247"/>
      <c r="E841" s="316"/>
      <c r="F841" s="429"/>
      <c r="G841" s="457">
        <f t="shared" si="47"/>
        <v>0</v>
      </c>
    </row>
    <row r="842" spans="1:7" ht="19.5">
      <c r="A842" s="313"/>
      <c r="B842" s="334" t="s">
        <v>964</v>
      </c>
      <c r="C842" s="321" t="s">
        <v>1130</v>
      </c>
      <c r="D842" s="247"/>
      <c r="E842" s="316"/>
      <c r="F842" s="429"/>
      <c r="G842" s="457">
        <f t="shared" si="47"/>
        <v>0</v>
      </c>
    </row>
    <row r="843" spans="1:7" ht="48">
      <c r="A843" s="313"/>
      <c r="B843" s="334" t="s">
        <v>2955</v>
      </c>
      <c r="C843" s="321"/>
      <c r="D843" s="247"/>
      <c r="E843" s="316"/>
      <c r="F843" s="429"/>
      <c r="G843" s="457">
        <f t="shared" si="47"/>
        <v>0</v>
      </c>
    </row>
    <row r="844" spans="1:7" ht="32.25">
      <c r="A844" s="313"/>
      <c r="B844" s="334" t="s">
        <v>2956</v>
      </c>
      <c r="C844" s="321" t="s">
        <v>3347</v>
      </c>
      <c r="D844" s="247"/>
      <c r="E844" s="316"/>
      <c r="F844" s="429"/>
      <c r="G844" s="457">
        <f t="shared" si="47"/>
        <v>0</v>
      </c>
    </row>
    <row r="845" spans="1:7" ht="32.25">
      <c r="A845" s="313"/>
      <c r="B845" s="353" t="s">
        <v>2957</v>
      </c>
      <c r="C845" s="327"/>
      <c r="D845" s="247"/>
      <c r="E845" s="316"/>
      <c r="F845" s="429"/>
      <c r="G845" s="457">
        <f t="shared" ref="G845:G908" si="49">FLOOR(F845*1.035,0.01)</f>
        <v>0</v>
      </c>
    </row>
    <row r="846" spans="1:7">
      <c r="A846" s="313"/>
      <c r="B846" s="386" t="s">
        <v>2958</v>
      </c>
      <c r="C846" s="327" t="s">
        <v>3261</v>
      </c>
      <c r="D846" s="247">
        <v>248.75</v>
      </c>
      <c r="E846" s="321" t="s">
        <v>2110</v>
      </c>
      <c r="F846" s="429">
        <f>FLOOR(D846*10.76,0.01)</f>
        <v>2676.55</v>
      </c>
      <c r="G846" s="457">
        <f t="shared" si="49"/>
        <v>2770.2200000000003</v>
      </c>
    </row>
    <row r="847" spans="1:7">
      <c r="A847" s="313"/>
      <c r="B847" s="386" t="s">
        <v>2959</v>
      </c>
      <c r="C847" s="327" t="s">
        <v>3261</v>
      </c>
      <c r="D847" s="247">
        <v>189.56</v>
      </c>
      <c r="E847" s="321" t="s">
        <v>2110</v>
      </c>
      <c r="F847" s="429">
        <f>FLOOR(D847*10.76,0.01)</f>
        <v>2039.66</v>
      </c>
      <c r="G847" s="457">
        <f t="shared" si="49"/>
        <v>2111.04</v>
      </c>
    </row>
    <row r="848" spans="1:7">
      <c r="A848" s="313"/>
      <c r="B848" s="386" t="s">
        <v>2960</v>
      </c>
      <c r="C848" s="327" t="s">
        <v>3261</v>
      </c>
      <c r="D848" s="247">
        <v>157.44</v>
      </c>
      <c r="E848" s="321" t="s">
        <v>2110</v>
      </c>
      <c r="F848" s="429">
        <f>FLOOR(D848*10.76,0.01)</f>
        <v>1694.05</v>
      </c>
      <c r="G848" s="457">
        <f t="shared" si="49"/>
        <v>1753.3400000000001</v>
      </c>
    </row>
    <row r="849" spans="1:7" ht="48">
      <c r="A849" s="313"/>
      <c r="B849" s="353" t="s">
        <v>2961</v>
      </c>
      <c r="C849" s="327"/>
      <c r="D849" s="247"/>
      <c r="E849" s="316"/>
      <c r="F849" s="429"/>
      <c r="G849" s="457">
        <f t="shared" si="49"/>
        <v>0</v>
      </c>
    </row>
    <row r="850" spans="1:7">
      <c r="A850" s="313"/>
      <c r="B850" s="386" t="s">
        <v>2960</v>
      </c>
      <c r="C850" s="327" t="s">
        <v>3261</v>
      </c>
      <c r="D850" s="247">
        <v>167.05</v>
      </c>
      <c r="E850" s="321" t="s">
        <v>2110</v>
      </c>
      <c r="F850" s="429">
        <f>FLOOR(D850*10.76,0.01)</f>
        <v>1797.45</v>
      </c>
      <c r="G850" s="457">
        <f t="shared" si="49"/>
        <v>1860.3600000000001</v>
      </c>
    </row>
    <row r="851" spans="1:7" ht="48">
      <c r="A851" s="313"/>
      <c r="B851" s="353" t="s">
        <v>2225</v>
      </c>
      <c r="C851" s="327" t="s">
        <v>3261</v>
      </c>
      <c r="D851" s="247">
        <v>32</v>
      </c>
      <c r="E851" s="321" t="s">
        <v>2110</v>
      </c>
      <c r="F851" s="429">
        <f>FLOOR(D851*10.76,0.01)</f>
        <v>344.32</v>
      </c>
      <c r="G851" s="457">
        <f t="shared" si="49"/>
        <v>356.37</v>
      </c>
    </row>
    <row r="852" spans="1:7" ht="75">
      <c r="A852" s="340">
        <v>49</v>
      </c>
      <c r="B852" s="377" t="s">
        <v>2280</v>
      </c>
      <c r="C852" s="321"/>
      <c r="D852" s="247"/>
      <c r="E852" s="322"/>
      <c r="F852" s="428"/>
      <c r="G852" s="457"/>
    </row>
    <row r="853" spans="1:7" ht="63.75">
      <c r="A853" s="313"/>
      <c r="B853" s="387" t="s">
        <v>2988</v>
      </c>
      <c r="C853" s="321"/>
      <c r="D853" s="247"/>
      <c r="E853" s="322"/>
      <c r="F853" s="428"/>
      <c r="G853" s="457"/>
    </row>
    <row r="854" spans="1:7" ht="79.5">
      <c r="A854" s="313"/>
      <c r="B854" s="334" t="s">
        <v>2281</v>
      </c>
      <c r="C854" s="321" t="s">
        <v>3347</v>
      </c>
      <c r="D854" s="247">
        <v>47</v>
      </c>
      <c r="E854" s="321" t="s">
        <v>2110</v>
      </c>
      <c r="F854" s="429">
        <f t="shared" ref="F854:F860" si="50">FLOOR(D854*10.76,0.01)</f>
        <v>505.72</v>
      </c>
      <c r="G854" s="457">
        <f t="shared" si="49"/>
        <v>523.41999999999996</v>
      </c>
    </row>
    <row r="855" spans="1:7" ht="63.75">
      <c r="A855" s="313"/>
      <c r="B855" s="334" t="s">
        <v>2282</v>
      </c>
      <c r="C855" s="321" t="s">
        <v>3347</v>
      </c>
      <c r="D855" s="247">
        <v>51</v>
      </c>
      <c r="E855" s="321" t="s">
        <v>2110</v>
      </c>
      <c r="F855" s="429">
        <f t="shared" si="50"/>
        <v>548.76</v>
      </c>
      <c r="G855" s="457">
        <f t="shared" si="49"/>
        <v>567.96</v>
      </c>
    </row>
    <row r="856" spans="1:7" ht="63.75">
      <c r="A856" s="313"/>
      <c r="B856" s="334" t="s">
        <v>2283</v>
      </c>
      <c r="C856" s="321" t="s">
        <v>3347</v>
      </c>
      <c r="D856" s="247">
        <v>50</v>
      </c>
      <c r="E856" s="321" t="s">
        <v>2110</v>
      </c>
      <c r="F856" s="429">
        <f t="shared" si="50"/>
        <v>538</v>
      </c>
      <c r="G856" s="457">
        <f t="shared" si="49"/>
        <v>556.83000000000004</v>
      </c>
    </row>
    <row r="857" spans="1:7" ht="48">
      <c r="A857" s="313"/>
      <c r="B857" s="334" t="s">
        <v>2284</v>
      </c>
      <c r="C857" s="321" t="s">
        <v>3347</v>
      </c>
      <c r="D857" s="247">
        <v>51.25</v>
      </c>
      <c r="E857" s="321" t="s">
        <v>2110</v>
      </c>
      <c r="F857" s="429">
        <f t="shared" si="50"/>
        <v>551.45000000000005</v>
      </c>
      <c r="G857" s="457">
        <f t="shared" si="49"/>
        <v>570.75</v>
      </c>
    </row>
    <row r="858" spans="1:7" ht="63.75">
      <c r="A858" s="313"/>
      <c r="B858" s="334" t="s">
        <v>1558</v>
      </c>
      <c r="C858" s="321" t="s">
        <v>1559</v>
      </c>
      <c r="D858" s="247">
        <v>200</v>
      </c>
      <c r="E858" s="321" t="s">
        <v>2110</v>
      </c>
      <c r="F858" s="429">
        <f t="shared" si="50"/>
        <v>2152</v>
      </c>
      <c r="G858" s="457">
        <f t="shared" si="49"/>
        <v>2227.3200000000002</v>
      </c>
    </row>
    <row r="859" spans="1:7" ht="32.25">
      <c r="A859" s="313"/>
      <c r="B859" s="334" t="s">
        <v>2285</v>
      </c>
      <c r="C859" s="321" t="s">
        <v>1559</v>
      </c>
      <c r="D859" s="247">
        <v>400</v>
      </c>
      <c r="E859" s="321" t="s">
        <v>2110</v>
      </c>
      <c r="F859" s="429">
        <f t="shared" si="50"/>
        <v>4304</v>
      </c>
      <c r="G859" s="457">
        <f t="shared" si="49"/>
        <v>4454.6400000000003</v>
      </c>
    </row>
    <row r="860" spans="1:7" ht="79.5">
      <c r="A860" s="313"/>
      <c r="B860" s="334" t="s">
        <v>1151</v>
      </c>
      <c r="C860" s="321" t="s">
        <v>3347</v>
      </c>
      <c r="D860" s="247">
        <v>21</v>
      </c>
      <c r="E860" s="321" t="s">
        <v>2110</v>
      </c>
      <c r="F860" s="429">
        <f t="shared" si="50"/>
        <v>225.96</v>
      </c>
      <c r="G860" s="457">
        <f t="shared" si="49"/>
        <v>233.86</v>
      </c>
    </row>
    <row r="861" spans="1:7" ht="62.25">
      <c r="A861" s="340"/>
      <c r="B861" s="384" t="s">
        <v>2543</v>
      </c>
      <c r="C861" s="321" t="s">
        <v>1559</v>
      </c>
      <c r="D861" s="247">
        <v>1890</v>
      </c>
      <c r="E861" s="321" t="s">
        <v>1101</v>
      </c>
      <c r="F861" s="429">
        <f>FLOOR(D861*3.28,0.01)</f>
        <v>6199.2</v>
      </c>
      <c r="G861" s="457">
        <f t="shared" si="49"/>
        <v>6416.17</v>
      </c>
    </row>
    <row r="862" spans="1:7">
      <c r="A862" s="340"/>
      <c r="B862" s="334" t="s">
        <v>1560</v>
      </c>
      <c r="C862" s="321" t="s">
        <v>3347</v>
      </c>
      <c r="D862" s="247"/>
      <c r="E862" s="316"/>
      <c r="F862" s="428"/>
      <c r="G862" s="457">
        <f t="shared" si="49"/>
        <v>0</v>
      </c>
    </row>
    <row r="863" spans="1:7" ht="63.75">
      <c r="A863" s="340"/>
      <c r="B863" s="334" t="s">
        <v>1561</v>
      </c>
      <c r="C863" s="321" t="s">
        <v>3347</v>
      </c>
      <c r="D863" s="247">
        <v>340</v>
      </c>
      <c r="E863" s="321" t="s">
        <v>2110</v>
      </c>
      <c r="F863" s="429">
        <f>FLOOR(D863*10.76,0.01)</f>
        <v>3658.4</v>
      </c>
      <c r="G863" s="457">
        <f t="shared" si="49"/>
        <v>3786.44</v>
      </c>
    </row>
    <row r="864" spans="1:7" ht="48">
      <c r="A864" s="340"/>
      <c r="B864" s="334" t="s">
        <v>1240</v>
      </c>
      <c r="C864" s="321" t="s">
        <v>3347</v>
      </c>
      <c r="D864" s="247">
        <v>160</v>
      </c>
      <c r="E864" s="321" t="s">
        <v>2110</v>
      </c>
      <c r="F864" s="429">
        <f>FLOOR(D864*10.76,0.01)</f>
        <v>1721.6000000000001</v>
      </c>
      <c r="G864" s="457">
        <f t="shared" si="49"/>
        <v>1781.8500000000001</v>
      </c>
    </row>
    <row r="865" spans="1:7" ht="63.75">
      <c r="A865" s="340"/>
      <c r="B865" s="334" t="s">
        <v>3006</v>
      </c>
      <c r="C865" s="321" t="s">
        <v>3347</v>
      </c>
      <c r="D865" s="247">
        <v>134</v>
      </c>
      <c r="E865" s="321" t="s">
        <v>2110</v>
      </c>
      <c r="F865" s="429">
        <f>FLOOR(D865*10.76,0.01)</f>
        <v>1441.84</v>
      </c>
      <c r="G865" s="457">
        <f t="shared" si="49"/>
        <v>1492.3</v>
      </c>
    </row>
    <row r="866" spans="1:7">
      <c r="A866" s="340"/>
      <c r="B866" s="366" t="s">
        <v>2544</v>
      </c>
      <c r="C866" s="321" t="s">
        <v>1559</v>
      </c>
      <c r="D866" s="247"/>
      <c r="E866" s="321" t="s">
        <v>1101</v>
      </c>
      <c r="F866" s="429">
        <f>FLOOR(D866*3.28,0.01)</f>
        <v>0</v>
      </c>
      <c r="G866" s="457">
        <f t="shared" si="49"/>
        <v>0</v>
      </c>
    </row>
    <row r="867" spans="1:7" ht="32.25">
      <c r="A867" s="340"/>
      <c r="B867" s="334" t="s">
        <v>1546</v>
      </c>
      <c r="C867" s="321" t="s">
        <v>1559</v>
      </c>
      <c r="D867" s="247">
        <v>120</v>
      </c>
      <c r="E867" s="316"/>
      <c r="F867" s="429"/>
      <c r="G867" s="457">
        <f t="shared" si="49"/>
        <v>0</v>
      </c>
    </row>
    <row r="868" spans="1:7" ht="32.25">
      <c r="A868" s="340"/>
      <c r="B868" s="334" t="s">
        <v>1547</v>
      </c>
      <c r="C868" s="321" t="s">
        <v>1559</v>
      </c>
      <c r="D868" s="247"/>
      <c r="E868" s="316"/>
      <c r="F868" s="428"/>
      <c r="G868" s="457">
        <f t="shared" si="49"/>
        <v>0</v>
      </c>
    </row>
    <row r="869" spans="1:7" ht="32.25">
      <c r="A869" s="340"/>
      <c r="B869" s="334" t="s">
        <v>3253</v>
      </c>
      <c r="C869" s="321" t="s">
        <v>3347</v>
      </c>
      <c r="D869" s="247"/>
      <c r="E869" s="316"/>
      <c r="F869" s="428"/>
      <c r="G869" s="457">
        <f t="shared" si="49"/>
        <v>0</v>
      </c>
    </row>
    <row r="870" spans="1:7" ht="48">
      <c r="A870" s="340"/>
      <c r="B870" s="334" t="s">
        <v>1677</v>
      </c>
      <c r="C870" s="321" t="s">
        <v>3347</v>
      </c>
      <c r="D870" s="247">
        <v>39</v>
      </c>
      <c r="E870" s="321" t="s">
        <v>2110</v>
      </c>
      <c r="F870" s="429">
        <f>FLOOR(D870*10.76,0.01)</f>
        <v>419.64</v>
      </c>
      <c r="G870" s="457">
        <f t="shared" si="49"/>
        <v>434.32</v>
      </c>
    </row>
    <row r="871" spans="1:7" ht="48">
      <c r="A871" s="340"/>
      <c r="B871" s="334" t="s">
        <v>1678</v>
      </c>
      <c r="C871" s="321" t="s">
        <v>3347</v>
      </c>
      <c r="D871" s="247">
        <v>39</v>
      </c>
      <c r="E871" s="321" t="s">
        <v>2110</v>
      </c>
      <c r="F871" s="429">
        <f>FLOOR(D871*10.76,0.01)</f>
        <v>419.64</v>
      </c>
      <c r="G871" s="457">
        <f t="shared" si="49"/>
        <v>434.32</v>
      </c>
    </row>
    <row r="872" spans="1:7" ht="95.25">
      <c r="A872" s="340"/>
      <c r="B872" s="334" t="s">
        <v>1679</v>
      </c>
      <c r="C872" s="321" t="s">
        <v>3347</v>
      </c>
      <c r="D872" s="247">
        <v>122</v>
      </c>
      <c r="E872" s="321" t="s">
        <v>2110</v>
      </c>
      <c r="F872" s="429">
        <f>FLOOR(D872*10.76,0.01)</f>
        <v>1312.72</v>
      </c>
      <c r="G872" s="457">
        <f t="shared" si="49"/>
        <v>1358.66</v>
      </c>
    </row>
    <row r="873" spans="1:7" ht="37.5">
      <c r="A873" s="340">
        <v>50</v>
      </c>
      <c r="B873" s="388" t="s">
        <v>3254</v>
      </c>
      <c r="C873" s="321"/>
      <c r="D873" s="247"/>
      <c r="E873" s="316"/>
      <c r="F873" s="428"/>
      <c r="G873" s="457">
        <f t="shared" si="49"/>
        <v>0</v>
      </c>
    </row>
    <row r="874" spans="1:7" ht="79.5">
      <c r="A874" s="340"/>
      <c r="B874" s="366" t="s">
        <v>1624</v>
      </c>
      <c r="C874" s="321" t="s">
        <v>3347</v>
      </c>
      <c r="D874" s="247"/>
      <c r="E874" s="321" t="s">
        <v>2110</v>
      </c>
      <c r="F874" s="429">
        <f>FLOOR(D874*10.76,0.01)</f>
        <v>0</v>
      </c>
      <c r="G874" s="457">
        <f t="shared" si="49"/>
        <v>0</v>
      </c>
    </row>
    <row r="875" spans="1:7" ht="79.5">
      <c r="A875" s="340"/>
      <c r="B875" s="366" t="s">
        <v>1625</v>
      </c>
      <c r="C875" s="321" t="s">
        <v>3347</v>
      </c>
      <c r="D875" s="247"/>
      <c r="E875" s="321" t="s">
        <v>2110</v>
      </c>
      <c r="F875" s="429">
        <f>FLOOR(D875*10.76,0.01)</f>
        <v>0</v>
      </c>
      <c r="G875" s="457">
        <f t="shared" si="49"/>
        <v>0</v>
      </c>
    </row>
    <row r="876" spans="1:7" ht="111">
      <c r="A876" s="340"/>
      <c r="B876" s="366" t="s">
        <v>1626</v>
      </c>
      <c r="C876" s="321" t="s">
        <v>3347</v>
      </c>
      <c r="D876" s="247"/>
      <c r="E876" s="321" t="s">
        <v>2110</v>
      </c>
      <c r="F876" s="429">
        <f>FLOOR(D876*10.76,0.01)</f>
        <v>0</v>
      </c>
      <c r="G876" s="457">
        <f t="shared" si="49"/>
        <v>0</v>
      </c>
    </row>
    <row r="877" spans="1:7" ht="95.25">
      <c r="A877" s="340"/>
      <c r="B877" s="334" t="s">
        <v>2393</v>
      </c>
      <c r="C877" s="321" t="s">
        <v>1101</v>
      </c>
      <c r="D877" s="247"/>
      <c r="E877" s="321" t="s">
        <v>1101</v>
      </c>
      <c r="F877" s="436">
        <f>D877</f>
        <v>0</v>
      </c>
      <c r="G877" s="457">
        <f t="shared" si="49"/>
        <v>0</v>
      </c>
    </row>
    <row r="878" spans="1:7" ht="51">
      <c r="A878" s="340"/>
      <c r="B878" s="389" t="s">
        <v>1627</v>
      </c>
      <c r="C878" s="321" t="s">
        <v>3096</v>
      </c>
      <c r="D878" s="247">
        <v>1450</v>
      </c>
      <c r="E878" s="321" t="s">
        <v>3096</v>
      </c>
      <c r="F878" s="436">
        <f>D878</f>
        <v>1450</v>
      </c>
      <c r="G878" s="457">
        <f t="shared" si="49"/>
        <v>1500.75</v>
      </c>
    </row>
    <row r="879" spans="1:7">
      <c r="A879" s="340"/>
      <c r="B879" s="389" t="s">
        <v>2754</v>
      </c>
      <c r="C879" s="321"/>
      <c r="D879" s="247"/>
      <c r="E879" s="316"/>
      <c r="F879" s="436"/>
      <c r="G879" s="457">
        <f t="shared" si="49"/>
        <v>0</v>
      </c>
    </row>
    <row r="880" spans="1:7" ht="32.25">
      <c r="A880" s="340"/>
      <c r="B880" s="334" t="s">
        <v>2188</v>
      </c>
      <c r="C880" s="321" t="s">
        <v>3096</v>
      </c>
      <c r="D880" s="247">
        <v>110</v>
      </c>
      <c r="E880" s="321" t="s">
        <v>3096</v>
      </c>
      <c r="F880" s="436">
        <f>D880</f>
        <v>110</v>
      </c>
      <c r="G880" s="457">
        <f t="shared" si="49"/>
        <v>113.85000000000001</v>
      </c>
    </row>
    <row r="881" spans="1:7" ht="48">
      <c r="A881" s="340"/>
      <c r="B881" s="334" t="s">
        <v>2189</v>
      </c>
      <c r="C881" s="321" t="s">
        <v>3096</v>
      </c>
      <c r="D881" s="247"/>
      <c r="E881" s="321" t="s">
        <v>3096</v>
      </c>
      <c r="F881" s="436">
        <f>D881</f>
        <v>0</v>
      </c>
      <c r="G881" s="457">
        <f t="shared" si="49"/>
        <v>0</v>
      </c>
    </row>
    <row r="882" spans="1:7" ht="32.25">
      <c r="A882" s="340"/>
      <c r="B882" s="334" t="s">
        <v>2190</v>
      </c>
      <c r="C882" s="321" t="s">
        <v>3096</v>
      </c>
      <c r="D882" s="247">
        <v>150</v>
      </c>
      <c r="E882" s="321" t="s">
        <v>3096</v>
      </c>
      <c r="F882" s="436">
        <f>D882</f>
        <v>150</v>
      </c>
      <c r="G882" s="457">
        <f t="shared" si="49"/>
        <v>155.25</v>
      </c>
    </row>
    <row r="883" spans="1:7" ht="63.75">
      <c r="A883" s="340"/>
      <c r="B883" s="334" t="s">
        <v>1628</v>
      </c>
      <c r="C883" s="321" t="s">
        <v>3096</v>
      </c>
      <c r="D883" s="247">
        <v>390</v>
      </c>
      <c r="E883" s="321" t="s">
        <v>3096</v>
      </c>
      <c r="F883" s="436">
        <f>D883</f>
        <v>390</v>
      </c>
      <c r="G883" s="457">
        <f t="shared" si="49"/>
        <v>403.65000000000003</v>
      </c>
    </row>
    <row r="884" spans="1:7" ht="48">
      <c r="A884" s="340"/>
      <c r="B884" s="334" t="s">
        <v>1629</v>
      </c>
      <c r="C884" s="321" t="s">
        <v>3096</v>
      </c>
      <c r="D884" s="247">
        <v>220</v>
      </c>
      <c r="E884" s="321" t="s">
        <v>3096</v>
      </c>
      <c r="F884" s="436">
        <f>D884</f>
        <v>220</v>
      </c>
      <c r="G884" s="457">
        <f t="shared" si="49"/>
        <v>227.70000000000002</v>
      </c>
    </row>
    <row r="885" spans="1:7" ht="36.75">
      <c r="A885" s="340">
        <v>51</v>
      </c>
      <c r="B885" s="390" t="s">
        <v>1630</v>
      </c>
      <c r="C885" s="339"/>
      <c r="D885" s="247"/>
      <c r="E885" s="391"/>
      <c r="F885" s="446"/>
      <c r="G885" s="457">
        <f t="shared" si="49"/>
        <v>0</v>
      </c>
    </row>
    <row r="886" spans="1:7" ht="40.5" customHeight="1">
      <c r="A886" s="313"/>
      <c r="B886" s="392" t="s">
        <v>2988</v>
      </c>
      <c r="C886" s="339"/>
      <c r="D886" s="247"/>
      <c r="E886" s="391"/>
      <c r="F886" s="446"/>
      <c r="G886" s="457">
        <f t="shared" si="49"/>
        <v>0</v>
      </c>
    </row>
    <row r="887" spans="1:7">
      <c r="A887" s="313"/>
      <c r="B887" s="393" t="s">
        <v>2191</v>
      </c>
      <c r="C887" s="339"/>
      <c r="D887" s="247"/>
      <c r="E887" s="391"/>
      <c r="F887" s="446"/>
      <c r="G887" s="457">
        <f t="shared" si="49"/>
        <v>0</v>
      </c>
    </row>
    <row r="888" spans="1:7" ht="65.25">
      <c r="A888" s="313"/>
      <c r="B888" s="382" t="s">
        <v>2154</v>
      </c>
      <c r="C888" s="339" t="s">
        <v>2155</v>
      </c>
      <c r="D888" s="247">
        <v>35.4</v>
      </c>
      <c r="E888" s="321" t="s">
        <v>2110</v>
      </c>
      <c r="F888" s="429">
        <f>FLOOR(D888*10.76,0.01)</f>
        <v>380.90000000000003</v>
      </c>
      <c r="G888" s="457">
        <f t="shared" si="49"/>
        <v>394.23</v>
      </c>
    </row>
    <row r="889" spans="1:7">
      <c r="A889" s="313"/>
      <c r="B889" s="393" t="s">
        <v>2156</v>
      </c>
      <c r="C889" s="339"/>
      <c r="D889" s="247"/>
      <c r="E889" s="322"/>
      <c r="F889" s="446"/>
      <c r="G889" s="457">
        <f t="shared" si="49"/>
        <v>0</v>
      </c>
    </row>
    <row r="890" spans="1:7" ht="78">
      <c r="A890" s="313"/>
      <c r="B890" s="382" t="s">
        <v>3085</v>
      </c>
      <c r="C890" s="339" t="s">
        <v>2155</v>
      </c>
      <c r="D890" s="247">
        <v>37.200000000000003</v>
      </c>
      <c r="E890" s="321" t="s">
        <v>2110</v>
      </c>
      <c r="F890" s="429">
        <f>FLOOR(D890*10.76,0.01)</f>
        <v>400.27</v>
      </c>
      <c r="G890" s="457">
        <f t="shared" si="49"/>
        <v>414.27</v>
      </c>
    </row>
    <row r="891" spans="1:7">
      <c r="A891" s="313"/>
      <c r="B891" s="393" t="s">
        <v>3086</v>
      </c>
      <c r="C891" s="339"/>
      <c r="D891" s="247"/>
      <c r="E891" s="322"/>
      <c r="F891" s="429"/>
      <c r="G891" s="457">
        <f t="shared" si="49"/>
        <v>0</v>
      </c>
    </row>
    <row r="892" spans="1:7" ht="52.5">
      <c r="A892" s="313"/>
      <c r="B892" s="382" t="s">
        <v>2160</v>
      </c>
      <c r="C892" s="339" t="s">
        <v>2155</v>
      </c>
      <c r="D892" s="247">
        <v>43.2</v>
      </c>
      <c r="E892" s="321" t="s">
        <v>2110</v>
      </c>
      <c r="F892" s="429">
        <f>FLOOR(D892*10.76,0.01)</f>
        <v>464.83</v>
      </c>
      <c r="G892" s="457">
        <f t="shared" si="49"/>
        <v>481.09000000000003</v>
      </c>
    </row>
    <row r="893" spans="1:7">
      <c r="A893" s="313"/>
      <c r="B893" s="393" t="s">
        <v>2161</v>
      </c>
      <c r="C893" s="327"/>
      <c r="D893" s="247"/>
      <c r="E893" s="322"/>
      <c r="F893" s="429"/>
      <c r="G893" s="457">
        <f t="shared" si="49"/>
        <v>0</v>
      </c>
    </row>
    <row r="894" spans="1:7" ht="39.75">
      <c r="A894" s="313"/>
      <c r="B894" s="382" t="s">
        <v>2162</v>
      </c>
      <c r="C894" s="339" t="s">
        <v>2155</v>
      </c>
      <c r="D894" s="247">
        <v>35</v>
      </c>
      <c r="E894" s="321" t="s">
        <v>2110</v>
      </c>
      <c r="F894" s="429">
        <f>FLOOR(D894*10.76,0.01)</f>
        <v>376.6</v>
      </c>
      <c r="G894" s="457">
        <f t="shared" si="49"/>
        <v>389.78000000000003</v>
      </c>
    </row>
    <row r="895" spans="1:7">
      <c r="A895" s="313"/>
      <c r="B895" s="393" t="s">
        <v>2163</v>
      </c>
      <c r="C895" s="339"/>
      <c r="D895" s="247"/>
      <c r="E895" s="322"/>
      <c r="F895" s="429"/>
      <c r="G895" s="457">
        <f t="shared" si="49"/>
        <v>0</v>
      </c>
    </row>
    <row r="896" spans="1:7" ht="52.5">
      <c r="A896" s="313"/>
      <c r="B896" s="382" t="s">
        <v>663</v>
      </c>
      <c r="C896" s="339" t="s">
        <v>664</v>
      </c>
      <c r="D896" s="247">
        <v>36.6</v>
      </c>
      <c r="E896" s="321" t="s">
        <v>2110</v>
      </c>
      <c r="F896" s="429">
        <f>FLOOR(D896*10.76,0.01)</f>
        <v>393.81</v>
      </c>
      <c r="G896" s="457">
        <f t="shared" si="49"/>
        <v>407.59000000000003</v>
      </c>
    </row>
    <row r="897" spans="1:7">
      <c r="A897" s="313"/>
      <c r="B897" s="393" t="s">
        <v>665</v>
      </c>
      <c r="C897" s="339"/>
      <c r="D897" s="247"/>
      <c r="E897" s="322"/>
      <c r="F897" s="446"/>
      <c r="G897" s="457">
        <f t="shared" si="49"/>
        <v>0</v>
      </c>
    </row>
    <row r="898" spans="1:7" ht="52.5">
      <c r="A898" s="313"/>
      <c r="B898" s="382" t="s">
        <v>666</v>
      </c>
      <c r="C898" s="339" t="s">
        <v>2155</v>
      </c>
      <c r="D898" s="247">
        <v>13</v>
      </c>
      <c r="E898" s="321" t="s">
        <v>2110</v>
      </c>
      <c r="F898" s="429">
        <f>FLOOR(D898*10.76,0.01)</f>
        <v>139.88</v>
      </c>
      <c r="G898" s="457">
        <f t="shared" si="49"/>
        <v>144.77000000000001</v>
      </c>
    </row>
    <row r="899" spans="1:7">
      <c r="A899" s="313"/>
      <c r="B899" s="393" t="s">
        <v>667</v>
      </c>
      <c r="C899" s="339"/>
      <c r="D899" s="247"/>
      <c r="E899" s="322"/>
      <c r="F899" s="429"/>
      <c r="G899" s="457">
        <f t="shared" si="49"/>
        <v>0</v>
      </c>
    </row>
    <row r="900" spans="1:7" ht="52.5">
      <c r="A900" s="313"/>
      <c r="B900" s="382" t="s">
        <v>668</v>
      </c>
      <c r="C900" s="339" t="s">
        <v>2155</v>
      </c>
      <c r="D900" s="247">
        <v>35</v>
      </c>
      <c r="E900" s="321" t="s">
        <v>2110</v>
      </c>
      <c r="F900" s="429">
        <f>FLOOR(D900*10.76,0.01)</f>
        <v>376.6</v>
      </c>
      <c r="G900" s="457">
        <f t="shared" si="49"/>
        <v>389.78000000000003</v>
      </c>
    </row>
    <row r="901" spans="1:7">
      <c r="A901" s="313"/>
      <c r="B901" s="393" t="s">
        <v>669</v>
      </c>
      <c r="C901" s="339"/>
      <c r="D901" s="247"/>
      <c r="E901" s="322"/>
      <c r="F901" s="446"/>
      <c r="G901" s="457">
        <f t="shared" si="49"/>
        <v>0</v>
      </c>
    </row>
    <row r="902" spans="1:7" ht="39.75">
      <c r="A902" s="313"/>
      <c r="B902" s="382" t="s">
        <v>670</v>
      </c>
      <c r="C902" s="339" t="s">
        <v>671</v>
      </c>
      <c r="D902" s="247">
        <v>300</v>
      </c>
      <c r="E902" s="321" t="s">
        <v>3070</v>
      </c>
      <c r="F902" s="447">
        <f>D902</f>
        <v>300</v>
      </c>
      <c r="G902" s="457">
        <f t="shared" si="49"/>
        <v>310.5</v>
      </c>
    </row>
    <row r="903" spans="1:7">
      <c r="A903" s="313"/>
      <c r="B903" s="393" t="s">
        <v>672</v>
      </c>
      <c r="C903" s="339"/>
      <c r="D903" s="247"/>
      <c r="E903" s="322"/>
      <c r="F903" s="447"/>
      <c r="G903" s="457">
        <f t="shared" si="49"/>
        <v>0</v>
      </c>
    </row>
    <row r="904" spans="1:7" ht="65.25">
      <c r="A904" s="313"/>
      <c r="B904" s="382" t="s">
        <v>2763</v>
      </c>
      <c r="C904" s="339" t="s">
        <v>2764</v>
      </c>
      <c r="D904" s="247">
        <v>250</v>
      </c>
      <c r="E904" s="321" t="s">
        <v>3070</v>
      </c>
      <c r="F904" s="447">
        <f>D904</f>
        <v>250</v>
      </c>
      <c r="G904" s="457">
        <f t="shared" si="49"/>
        <v>258.75</v>
      </c>
    </row>
    <row r="905" spans="1:7">
      <c r="A905" s="313"/>
      <c r="B905" s="393" t="s">
        <v>2765</v>
      </c>
      <c r="C905" s="339"/>
      <c r="D905" s="247"/>
      <c r="E905" s="322"/>
      <c r="F905" s="447"/>
      <c r="G905" s="457">
        <f t="shared" si="49"/>
        <v>0</v>
      </c>
    </row>
    <row r="906" spans="1:7" ht="48">
      <c r="A906" s="313"/>
      <c r="B906" s="334" t="s">
        <v>2766</v>
      </c>
      <c r="C906" s="339" t="s">
        <v>2764</v>
      </c>
      <c r="D906" s="247">
        <v>375</v>
      </c>
      <c r="E906" s="321" t="s">
        <v>3070</v>
      </c>
      <c r="F906" s="447">
        <f>D906</f>
        <v>375</v>
      </c>
      <c r="G906" s="457">
        <f t="shared" si="49"/>
        <v>388.12</v>
      </c>
    </row>
    <row r="907" spans="1:7">
      <c r="A907" s="313"/>
      <c r="B907" s="393" t="s">
        <v>2767</v>
      </c>
      <c r="C907" s="339"/>
      <c r="D907" s="247"/>
      <c r="E907" s="322"/>
      <c r="F907" s="447"/>
      <c r="G907" s="457">
        <f t="shared" si="49"/>
        <v>0</v>
      </c>
    </row>
    <row r="908" spans="1:7" ht="78">
      <c r="A908" s="313"/>
      <c r="B908" s="382" t="s">
        <v>2302</v>
      </c>
      <c r="C908" s="339" t="s">
        <v>2764</v>
      </c>
      <c r="D908" s="247">
        <v>250</v>
      </c>
      <c r="E908" s="321" t="s">
        <v>3070</v>
      </c>
      <c r="F908" s="447">
        <f>D908</f>
        <v>250</v>
      </c>
      <c r="G908" s="457">
        <f t="shared" si="49"/>
        <v>258.75</v>
      </c>
    </row>
    <row r="909" spans="1:7">
      <c r="A909" s="313"/>
      <c r="B909" s="393" t="s">
        <v>2303</v>
      </c>
      <c r="C909" s="327"/>
      <c r="D909" s="247"/>
      <c r="E909" s="322"/>
      <c r="F909" s="446"/>
      <c r="G909" s="457">
        <f t="shared" ref="G909:G972" si="51">FLOOR(F909*1.035,0.01)</f>
        <v>0</v>
      </c>
    </row>
    <row r="910" spans="1:7" ht="52.5">
      <c r="A910" s="313"/>
      <c r="B910" s="382" t="s">
        <v>3122</v>
      </c>
      <c r="C910" s="339" t="s">
        <v>3123</v>
      </c>
      <c r="D910" s="247">
        <v>250</v>
      </c>
      <c r="E910" s="321" t="s">
        <v>2110</v>
      </c>
      <c r="F910" s="429">
        <f>FLOOR(D910*10.76,0.01)</f>
        <v>2690</v>
      </c>
      <c r="G910" s="457">
        <f t="shared" si="51"/>
        <v>2784.15</v>
      </c>
    </row>
    <row r="911" spans="1:7">
      <c r="A911" s="313"/>
      <c r="B911" s="393" t="s">
        <v>3124</v>
      </c>
      <c r="C911" s="327"/>
      <c r="D911" s="247"/>
      <c r="E911" s="322"/>
      <c r="F911" s="446"/>
      <c r="G911" s="457">
        <f t="shared" si="51"/>
        <v>0</v>
      </c>
    </row>
    <row r="912" spans="1:7" ht="52.5">
      <c r="A912" s="313"/>
      <c r="B912" s="382" t="s">
        <v>3125</v>
      </c>
      <c r="C912" s="339" t="s">
        <v>2764</v>
      </c>
      <c r="D912" s="247">
        <v>8.6</v>
      </c>
      <c r="E912" s="321" t="s">
        <v>3070</v>
      </c>
      <c r="F912" s="447">
        <f>D912</f>
        <v>8.6</v>
      </c>
      <c r="G912" s="457">
        <f t="shared" si="51"/>
        <v>8.9</v>
      </c>
    </row>
    <row r="913" spans="1:7">
      <c r="A913" s="313"/>
      <c r="B913" s="393" t="s">
        <v>3126</v>
      </c>
      <c r="C913" s="327"/>
      <c r="D913" s="247"/>
      <c r="E913" s="322"/>
      <c r="F913" s="447"/>
      <c r="G913" s="457">
        <f t="shared" si="51"/>
        <v>0</v>
      </c>
    </row>
    <row r="914" spans="1:7" ht="27">
      <c r="A914" s="313"/>
      <c r="B914" s="349" t="s">
        <v>3127</v>
      </c>
      <c r="C914" s="339" t="s">
        <v>2764</v>
      </c>
      <c r="D914" s="247">
        <v>400</v>
      </c>
      <c r="E914" s="321" t="s">
        <v>3070</v>
      </c>
      <c r="F914" s="447">
        <f>D914</f>
        <v>400</v>
      </c>
      <c r="G914" s="457">
        <f t="shared" si="51"/>
        <v>414</v>
      </c>
    </row>
    <row r="915" spans="1:7">
      <c r="A915" s="313"/>
      <c r="B915" s="393" t="s">
        <v>3128</v>
      </c>
      <c r="C915" s="327"/>
      <c r="D915" s="247"/>
      <c r="E915" s="322"/>
      <c r="F915" s="447"/>
      <c r="G915" s="457">
        <f t="shared" si="51"/>
        <v>0</v>
      </c>
    </row>
    <row r="916" spans="1:7" ht="52.5">
      <c r="A916" s="313"/>
      <c r="B916" s="382" t="s">
        <v>2111</v>
      </c>
      <c r="C916" s="339" t="s">
        <v>2764</v>
      </c>
      <c r="D916" s="247">
        <v>375</v>
      </c>
      <c r="E916" s="321" t="s">
        <v>3070</v>
      </c>
      <c r="F916" s="447">
        <f>D916</f>
        <v>375</v>
      </c>
      <c r="G916" s="457">
        <f t="shared" si="51"/>
        <v>388.12</v>
      </c>
    </row>
    <row r="917" spans="1:7">
      <c r="A917" s="313"/>
      <c r="B917" s="393" t="s">
        <v>2112</v>
      </c>
      <c r="C917" s="339"/>
      <c r="D917" s="247"/>
      <c r="E917" s="322"/>
      <c r="F917" s="447"/>
      <c r="G917" s="457">
        <f t="shared" si="51"/>
        <v>0</v>
      </c>
    </row>
    <row r="918" spans="1:7" ht="78">
      <c r="A918" s="313"/>
      <c r="B918" s="382" t="s">
        <v>2975</v>
      </c>
      <c r="C918" s="339" t="s">
        <v>2764</v>
      </c>
      <c r="D918" s="247">
        <v>375</v>
      </c>
      <c r="E918" s="321" t="s">
        <v>3070</v>
      </c>
      <c r="F918" s="447">
        <f>D918</f>
        <v>375</v>
      </c>
      <c r="G918" s="457">
        <f t="shared" si="51"/>
        <v>388.12</v>
      </c>
    </row>
    <row r="919" spans="1:7">
      <c r="A919" s="313"/>
      <c r="B919" s="393" t="s">
        <v>2976</v>
      </c>
      <c r="C919" s="339"/>
      <c r="D919" s="247"/>
      <c r="E919" s="322"/>
      <c r="F919" s="446"/>
      <c r="G919" s="457">
        <f t="shared" si="51"/>
        <v>0</v>
      </c>
    </row>
    <row r="920" spans="1:7" ht="65.25">
      <c r="A920" s="313"/>
      <c r="B920" s="382" t="s">
        <v>2977</v>
      </c>
      <c r="C920" s="339" t="s">
        <v>3123</v>
      </c>
      <c r="D920" s="247">
        <v>26</v>
      </c>
      <c r="E920" s="321" t="s">
        <v>2110</v>
      </c>
      <c r="F920" s="429">
        <f>FLOOR(D920*10.76,0.01)</f>
        <v>279.76</v>
      </c>
      <c r="G920" s="457">
        <f t="shared" si="51"/>
        <v>289.55</v>
      </c>
    </row>
    <row r="921" spans="1:7">
      <c r="A921" s="313"/>
      <c r="B921" s="393" t="s">
        <v>2978</v>
      </c>
      <c r="C921" s="339"/>
      <c r="D921" s="247"/>
      <c r="E921" s="322"/>
      <c r="F921" s="446"/>
      <c r="G921" s="457">
        <f t="shared" si="51"/>
        <v>0</v>
      </c>
    </row>
    <row r="922" spans="1:7">
      <c r="A922" s="313"/>
      <c r="B922" s="284" t="s">
        <v>2979</v>
      </c>
      <c r="C922" s="339"/>
      <c r="D922" s="247"/>
      <c r="E922" s="322"/>
      <c r="F922" s="446"/>
      <c r="G922" s="457">
        <f t="shared" si="51"/>
        <v>0</v>
      </c>
    </row>
    <row r="923" spans="1:7" ht="78">
      <c r="A923" s="313"/>
      <c r="B923" s="382" t="s">
        <v>3329</v>
      </c>
      <c r="C923" s="339" t="s">
        <v>3330</v>
      </c>
      <c r="D923" s="247">
        <v>1500</v>
      </c>
      <c r="E923" s="321" t="s">
        <v>3096</v>
      </c>
      <c r="F923" s="447">
        <f>D923</f>
        <v>1500</v>
      </c>
      <c r="G923" s="457">
        <f t="shared" si="51"/>
        <v>1552.5</v>
      </c>
    </row>
    <row r="924" spans="1:7">
      <c r="A924" s="313"/>
      <c r="B924" s="393" t="s">
        <v>2017</v>
      </c>
      <c r="C924" s="339"/>
      <c r="D924" s="247"/>
      <c r="E924" s="322"/>
      <c r="F924" s="447"/>
      <c r="G924" s="457">
        <f t="shared" si="51"/>
        <v>0</v>
      </c>
    </row>
    <row r="925" spans="1:7" ht="52.5">
      <c r="A925" s="313"/>
      <c r="B925" s="382" t="s">
        <v>2018</v>
      </c>
      <c r="C925" s="339" t="s">
        <v>2764</v>
      </c>
      <c r="D925" s="247">
        <v>1350</v>
      </c>
      <c r="E925" s="321" t="s">
        <v>3070</v>
      </c>
      <c r="F925" s="447">
        <f>D925</f>
        <v>1350</v>
      </c>
      <c r="G925" s="457">
        <f t="shared" si="51"/>
        <v>1397.25</v>
      </c>
    </row>
    <row r="926" spans="1:7">
      <c r="A926" s="313"/>
      <c r="B926" s="393" t="s">
        <v>1361</v>
      </c>
      <c r="C926" s="339"/>
      <c r="D926" s="247"/>
      <c r="E926" s="322"/>
      <c r="F926" s="447"/>
      <c r="G926" s="457">
        <f t="shared" si="51"/>
        <v>0</v>
      </c>
    </row>
    <row r="927" spans="1:7">
      <c r="A927" s="313"/>
      <c r="B927" s="393" t="s">
        <v>1362</v>
      </c>
      <c r="C927" s="339"/>
      <c r="D927" s="247"/>
      <c r="E927" s="322"/>
      <c r="F927" s="447"/>
      <c r="G927" s="457">
        <f t="shared" si="51"/>
        <v>0</v>
      </c>
    </row>
    <row r="928" spans="1:7" ht="52.5">
      <c r="A928" s="313"/>
      <c r="B928" s="382" t="s">
        <v>1363</v>
      </c>
      <c r="C928" s="339" t="s">
        <v>2764</v>
      </c>
      <c r="D928" s="247">
        <v>375</v>
      </c>
      <c r="E928" s="321" t="s">
        <v>3070</v>
      </c>
      <c r="F928" s="447">
        <f>D928</f>
        <v>375</v>
      </c>
      <c r="G928" s="457">
        <f t="shared" si="51"/>
        <v>388.12</v>
      </c>
    </row>
    <row r="929" spans="1:7">
      <c r="A929" s="340">
        <v>52</v>
      </c>
      <c r="B929" s="353" t="s">
        <v>1364</v>
      </c>
      <c r="C929" s="363"/>
      <c r="D929" s="247"/>
      <c r="E929" s="394"/>
      <c r="F929" s="430"/>
      <c r="G929" s="457">
        <f t="shared" si="51"/>
        <v>0</v>
      </c>
    </row>
    <row r="930" spans="1:7" ht="63" customHeight="1">
      <c r="A930" s="313"/>
      <c r="B930" s="395" t="s">
        <v>1365</v>
      </c>
      <c r="C930" s="363"/>
      <c r="D930" s="247"/>
      <c r="E930" s="394"/>
      <c r="F930" s="430"/>
      <c r="G930" s="457">
        <f t="shared" si="51"/>
        <v>0</v>
      </c>
    </row>
    <row r="931" spans="1:7" ht="48">
      <c r="A931" s="320"/>
      <c r="B931" s="334" t="s">
        <v>1366</v>
      </c>
      <c r="C931" s="321" t="s">
        <v>3347</v>
      </c>
      <c r="D931" s="247">
        <v>380</v>
      </c>
      <c r="E931" s="316"/>
      <c r="F931" s="428"/>
      <c r="G931" s="457">
        <f t="shared" si="51"/>
        <v>0</v>
      </c>
    </row>
    <row r="932" spans="1:7" ht="32.25">
      <c r="A932" s="313"/>
      <c r="B932" s="334" t="s">
        <v>1851</v>
      </c>
      <c r="C932" s="321" t="s">
        <v>1130</v>
      </c>
      <c r="D932" s="247">
        <v>425</v>
      </c>
      <c r="E932" s="316"/>
      <c r="F932" s="428"/>
      <c r="G932" s="457">
        <f t="shared" si="51"/>
        <v>0</v>
      </c>
    </row>
    <row r="933" spans="1:7" ht="48">
      <c r="A933" s="388"/>
      <c r="B933" s="334" t="s">
        <v>1852</v>
      </c>
      <c r="C933" s="321" t="s">
        <v>1130</v>
      </c>
      <c r="D933" s="247">
        <v>319</v>
      </c>
      <c r="E933" s="316"/>
      <c r="F933" s="428"/>
      <c r="G933" s="457">
        <f t="shared" si="51"/>
        <v>0</v>
      </c>
    </row>
    <row r="934" spans="1:7" ht="32.25">
      <c r="A934" s="388"/>
      <c r="B934" s="334" t="s">
        <v>1853</v>
      </c>
      <c r="C934" s="321" t="s">
        <v>1130</v>
      </c>
      <c r="D934" s="247">
        <v>440</v>
      </c>
      <c r="E934" s="316"/>
      <c r="F934" s="428"/>
      <c r="G934" s="457">
        <f t="shared" si="51"/>
        <v>0</v>
      </c>
    </row>
    <row r="935" spans="1:7" ht="48">
      <c r="A935" s="388"/>
      <c r="B935" s="334" t="s">
        <v>1854</v>
      </c>
      <c r="C935" s="321" t="s">
        <v>1130</v>
      </c>
      <c r="D935" s="247">
        <v>470</v>
      </c>
      <c r="E935" s="316"/>
      <c r="F935" s="428"/>
      <c r="G935" s="457">
        <f t="shared" si="51"/>
        <v>0</v>
      </c>
    </row>
    <row r="936" spans="1:7" ht="63.75">
      <c r="A936" s="388"/>
      <c r="B936" s="334" t="s">
        <v>3642</v>
      </c>
      <c r="C936" s="321" t="s">
        <v>1130</v>
      </c>
      <c r="D936" s="247">
        <v>380</v>
      </c>
      <c r="E936" s="316"/>
      <c r="F936" s="448"/>
      <c r="G936" s="457">
        <f t="shared" si="51"/>
        <v>0</v>
      </c>
    </row>
    <row r="937" spans="1:7" ht="48">
      <c r="A937" s="388"/>
      <c r="B937" s="334" t="s">
        <v>3643</v>
      </c>
      <c r="C937" s="350" t="s">
        <v>3347</v>
      </c>
      <c r="D937" s="247">
        <v>470</v>
      </c>
      <c r="E937" s="316"/>
      <c r="F937" s="449"/>
      <c r="G937" s="457">
        <f t="shared" si="51"/>
        <v>0</v>
      </c>
    </row>
    <row r="938" spans="1:7" ht="48">
      <c r="A938" s="388"/>
      <c r="B938" s="334" t="s">
        <v>3644</v>
      </c>
      <c r="C938" s="350" t="s">
        <v>3347</v>
      </c>
      <c r="D938" s="247">
        <v>470</v>
      </c>
      <c r="E938" s="316"/>
      <c r="F938" s="449"/>
      <c r="G938" s="457">
        <f t="shared" si="51"/>
        <v>0</v>
      </c>
    </row>
    <row r="939" spans="1:7" ht="48">
      <c r="A939" s="388"/>
      <c r="B939" s="334" t="s">
        <v>3645</v>
      </c>
      <c r="C939" s="350" t="s">
        <v>3347</v>
      </c>
      <c r="D939" s="247">
        <v>380</v>
      </c>
      <c r="E939" s="316"/>
      <c r="F939" s="449"/>
      <c r="G939" s="457">
        <f t="shared" si="51"/>
        <v>0</v>
      </c>
    </row>
    <row r="940" spans="1:7" ht="48">
      <c r="A940" s="388"/>
      <c r="B940" s="334" t="s">
        <v>3646</v>
      </c>
      <c r="C940" s="350" t="s">
        <v>3347</v>
      </c>
      <c r="D940" s="247">
        <v>365</v>
      </c>
      <c r="E940" s="316"/>
      <c r="F940" s="449"/>
      <c r="G940" s="457">
        <f t="shared" si="51"/>
        <v>0</v>
      </c>
    </row>
    <row r="941" spans="1:7" ht="31.5">
      <c r="A941" s="396"/>
      <c r="B941" s="357" t="s">
        <v>3452</v>
      </c>
      <c r="C941" s="350" t="s">
        <v>3347</v>
      </c>
      <c r="D941" s="247">
        <v>395</v>
      </c>
      <c r="E941" s="316"/>
      <c r="F941" s="437"/>
      <c r="G941" s="457">
        <f t="shared" si="51"/>
        <v>0</v>
      </c>
    </row>
    <row r="942" spans="1:7" ht="31.5">
      <c r="A942" s="396"/>
      <c r="B942" s="357" t="s">
        <v>3453</v>
      </c>
      <c r="C942" s="350" t="s">
        <v>3347</v>
      </c>
      <c r="D942" s="247">
        <v>435</v>
      </c>
      <c r="E942" s="316"/>
      <c r="F942" s="437"/>
      <c r="G942" s="457">
        <f t="shared" si="51"/>
        <v>0</v>
      </c>
    </row>
    <row r="943" spans="1:7" ht="46.5">
      <c r="A943" s="396"/>
      <c r="B943" s="357" t="s">
        <v>3454</v>
      </c>
      <c r="C943" s="350" t="s">
        <v>3347</v>
      </c>
      <c r="D943" s="247">
        <v>395</v>
      </c>
      <c r="E943" s="316"/>
      <c r="F943" s="437"/>
      <c r="G943" s="457">
        <f t="shared" si="51"/>
        <v>0</v>
      </c>
    </row>
    <row r="944" spans="1:7" ht="46.5">
      <c r="A944" s="396"/>
      <c r="B944" s="357" t="s">
        <v>3455</v>
      </c>
      <c r="C944" s="350" t="s">
        <v>3347</v>
      </c>
      <c r="D944" s="247">
        <v>435</v>
      </c>
      <c r="E944" s="316"/>
      <c r="F944" s="437"/>
      <c r="G944" s="457">
        <f t="shared" si="51"/>
        <v>0</v>
      </c>
    </row>
    <row r="945" spans="1:7" ht="31.5">
      <c r="A945" s="396"/>
      <c r="B945" s="357" t="s">
        <v>3456</v>
      </c>
      <c r="C945" s="315" t="s">
        <v>2110</v>
      </c>
      <c r="D945" s="247"/>
      <c r="E945" s="316"/>
      <c r="F945" s="437"/>
      <c r="G945" s="457">
        <f t="shared" si="51"/>
        <v>0</v>
      </c>
    </row>
    <row r="946" spans="1:7" ht="31.5">
      <c r="A946" s="396"/>
      <c r="B946" s="357" t="s">
        <v>2437</v>
      </c>
      <c r="C946" s="315" t="s">
        <v>2110</v>
      </c>
      <c r="D946" s="247"/>
      <c r="E946" s="316"/>
      <c r="F946" s="437"/>
      <c r="G946" s="457">
        <f t="shared" si="51"/>
        <v>0</v>
      </c>
    </row>
    <row r="947" spans="1:7" ht="31.5">
      <c r="A947" s="396"/>
      <c r="B947" s="357" t="s">
        <v>2050</v>
      </c>
      <c r="C947" s="315" t="s">
        <v>2110</v>
      </c>
      <c r="D947" s="247"/>
      <c r="E947" s="316"/>
      <c r="F947" s="437"/>
      <c r="G947" s="457">
        <f t="shared" si="51"/>
        <v>0</v>
      </c>
    </row>
    <row r="948" spans="1:7" ht="31.5">
      <c r="A948" s="396"/>
      <c r="B948" s="357" t="s">
        <v>2051</v>
      </c>
      <c r="C948" s="315" t="s">
        <v>2110</v>
      </c>
      <c r="D948" s="247"/>
      <c r="E948" s="316"/>
      <c r="F948" s="437"/>
      <c r="G948" s="457">
        <f t="shared" si="51"/>
        <v>0</v>
      </c>
    </row>
    <row r="949" spans="1:7" ht="31.5">
      <c r="A949" s="396"/>
      <c r="B949" s="357" t="s">
        <v>2052</v>
      </c>
      <c r="C949" s="315" t="s">
        <v>2110</v>
      </c>
      <c r="D949" s="247"/>
      <c r="E949" s="316"/>
      <c r="F949" s="437"/>
      <c r="G949" s="457">
        <f t="shared" si="51"/>
        <v>0</v>
      </c>
    </row>
    <row r="950" spans="1:7" ht="31.5">
      <c r="A950" s="396"/>
      <c r="B950" s="357" t="s">
        <v>2053</v>
      </c>
      <c r="C950" s="315" t="s">
        <v>2110</v>
      </c>
      <c r="D950" s="247"/>
      <c r="E950" s="316"/>
      <c r="F950" s="437"/>
      <c r="G950" s="457">
        <f t="shared" si="51"/>
        <v>0</v>
      </c>
    </row>
    <row r="951" spans="1:7" ht="31.5">
      <c r="A951" s="396"/>
      <c r="B951" s="357" t="s">
        <v>2054</v>
      </c>
      <c r="C951" s="315" t="s">
        <v>2110</v>
      </c>
      <c r="D951" s="247"/>
      <c r="E951" s="316"/>
      <c r="F951" s="437"/>
      <c r="G951" s="457">
        <f t="shared" si="51"/>
        <v>0</v>
      </c>
    </row>
    <row r="952" spans="1:7" ht="31.5">
      <c r="A952" s="396"/>
      <c r="B952" s="357" t="s">
        <v>2055</v>
      </c>
      <c r="C952" s="315" t="s">
        <v>2110</v>
      </c>
      <c r="D952" s="247"/>
      <c r="E952" s="316"/>
      <c r="F952" s="437"/>
      <c r="G952" s="457">
        <f t="shared" si="51"/>
        <v>0</v>
      </c>
    </row>
    <row r="953" spans="1:7" ht="31.5">
      <c r="A953" s="396"/>
      <c r="B953" s="357" t="s">
        <v>1671</v>
      </c>
      <c r="C953" s="315" t="s">
        <v>2110</v>
      </c>
      <c r="D953" s="247"/>
      <c r="E953" s="316"/>
      <c r="F953" s="437"/>
      <c r="G953" s="457">
        <f t="shared" si="51"/>
        <v>0</v>
      </c>
    </row>
    <row r="954" spans="1:7" ht="31.5">
      <c r="A954" s="396"/>
      <c r="B954" s="357" t="s">
        <v>1672</v>
      </c>
      <c r="C954" s="315" t="s">
        <v>2110</v>
      </c>
      <c r="D954" s="247"/>
      <c r="E954" s="316"/>
      <c r="F954" s="437"/>
      <c r="G954" s="457">
        <f t="shared" si="51"/>
        <v>0</v>
      </c>
    </row>
    <row r="955" spans="1:7" ht="31.5">
      <c r="A955" s="396"/>
      <c r="B955" s="357" t="s">
        <v>1673</v>
      </c>
      <c r="C955" s="315" t="s">
        <v>2110</v>
      </c>
      <c r="D955" s="247"/>
      <c r="E955" s="316"/>
      <c r="F955" s="437"/>
      <c r="G955" s="457">
        <f t="shared" si="51"/>
        <v>0</v>
      </c>
    </row>
    <row r="956" spans="1:7" ht="27">
      <c r="A956" s="396"/>
      <c r="B956" s="379" t="s">
        <v>3647</v>
      </c>
      <c r="C956" s="350" t="s">
        <v>3347</v>
      </c>
      <c r="D956" s="247"/>
      <c r="E956" s="315" t="s">
        <v>2110</v>
      </c>
      <c r="F956" s="429">
        <f t="shared" ref="F956:F964" si="52">FLOOR(D956*10.76,0.01)</f>
        <v>0</v>
      </c>
      <c r="G956" s="457">
        <f t="shared" si="51"/>
        <v>0</v>
      </c>
    </row>
    <row r="957" spans="1:7" ht="39.75">
      <c r="A957" s="396"/>
      <c r="B957" s="379" t="s">
        <v>3648</v>
      </c>
      <c r="C957" s="350" t="s">
        <v>1136</v>
      </c>
      <c r="D957" s="247"/>
      <c r="E957" s="315" t="s">
        <v>2110</v>
      </c>
      <c r="F957" s="429">
        <f t="shared" si="52"/>
        <v>0</v>
      </c>
      <c r="G957" s="457">
        <f t="shared" si="51"/>
        <v>0</v>
      </c>
    </row>
    <row r="958" spans="1:7" ht="27">
      <c r="A958" s="396"/>
      <c r="B958" s="379" t="s">
        <v>3649</v>
      </c>
      <c r="C958" s="350" t="s">
        <v>1136</v>
      </c>
      <c r="D958" s="247"/>
      <c r="E958" s="315" t="s">
        <v>2110</v>
      </c>
      <c r="F958" s="429">
        <f t="shared" si="52"/>
        <v>0</v>
      </c>
      <c r="G958" s="457">
        <f t="shared" si="51"/>
        <v>0</v>
      </c>
    </row>
    <row r="959" spans="1:7" ht="27">
      <c r="A959" s="396"/>
      <c r="B959" s="379" t="s">
        <v>3650</v>
      </c>
      <c r="C959" s="350" t="s">
        <v>1136</v>
      </c>
      <c r="D959" s="247"/>
      <c r="E959" s="315" t="s">
        <v>2110</v>
      </c>
      <c r="F959" s="429">
        <f t="shared" si="52"/>
        <v>0</v>
      </c>
      <c r="G959" s="457">
        <f t="shared" si="51"/>
        <v>0</v>
      </c>
    </row>
    <row r="960" spans="1:7" ht="27">
      <c r="A960" s="396"/>
      <c r="B960" s="379" t="s">
        <v>3651</v>
      </c>
      <c r="C960" s="350" t="s">
        <v>1136</v>
      </c>
      <c r="D960" s="247"/>
      <c r="E960" s="315" t="s">
        <v>2110</v>
      </c>
      <c r="F960" s="429">
        <f t="shared" si="52"/>
        <v>0</v>
      </c>
      <c r="G960" s="457">
        <f t="shared" si="51"/>
        <v>0</v>
      </c>
    </row>
    <row r="961" spans="1:7" ht="27">
      <c r="A961" s="396"/>
      <c r="B961" s="379" t="s">
        <v>2631</v>
      </c>
      <c r="C961" s="350" t="s">
        <v>1136</v>
      </c>
      <c r="D961" s="247"/>
      <c r="E961" s="315" t="s">
        <v>2110</v>
      </c>
      <c r="F961" s="429">
        <f t="shared" si="52"/>
        <v>0</v>
      </c>
      <c r="G961" s="457">
        <f t="shared" si="51"/>
        <v>0</v>
      </c>
    </row>
    <row r="962" spans="1:7" ht="27">
      <c r="A962" s="396"/>
      <c r="B962" s="379" t="s">
        <v>2632</v>
      </c>
      <c r="C962" s="350" t="s">
        <v>1136</v>
      </c>
      <c r="D962" s="247"/>
      <c r="E962" s="315" t="s">
        <v>2110</v>
      </c>
      <c r="F962" s="429">
        <f t="shared" si="52"/>
        <v>0</v>
      </c>
      <c r="G962" s="457">
        <f t="shared" si="51"/>
        <v>0</v>
      </c>
    </row>
    <row r="963" spans="1:7" ht="39.75">
      <c r="A963" s="396"/>
      <c r="B963" s="379" t="s">
        <v>2058</v>
      </c>
      <c r="C963" s="350" t="s">
        <v>1136</v>
      </c>
      <c r="D963" s="247">
        <v>500</v>
      </c>
      <c r="E963" s="315" t="s">
        <v>2110</v>
      </c>
      <c r="F963" s="429">
        <f t="shared" si="52"/>
        <v>5380</v>
      </c>
      <c r="G963" s="457">
        <f t="shared" si="51"/>
        <v>5568.3</v>
      </c>
    </row>
    <row r="964" spans="1:7" ht="39.75">
      <c r="A964" s="396"/>
      <c r="B964" s="379" t="s">
        <v>1830</v>
      </c>
      <c r="C964" s="350" t="s">
        <v>1136</v>
      </c>
      <c r="D964" s="247">
        <v>400</v>
      </c>
      <c r="E964" s="315" t="s">
        <v>2110</v>
      </c>
      <c r="F964" s="429">
        <f t="shared" si="52"/>
        <v>4304</v>
      </c>
      <c r="G964" s="457">
        <f t="shared" si="51"/>
        <v>4454.6400000000003</v>
      </c>
    </row>
    <row r="965" spans="1:7" ht="32.25">
      <c r="A965" s="340">
        <v>53</v>
      </c>
      <c r="B965" s="353" t="s">
        <v>1674</v>
      </c>
      <c r="C965" s="397"/>
      <c r="D965" s="247"/>
      <c r="E965" s="360"/>
      <c r="F965" s="439"/>
      <c r="G965" s="457">
        <f t="shared" si="51"/>
        <v>0</v>
      </c>
    </row>
    <row r="966" spans="1:7" ht="79.5">
      <c r="A966" s="313"/>
      <c r="B966" s="284" t="s">
        <v>1069</v>
      </c>
      <c r="C966" s="398" t="s">
        <v>3347</v>
      </c>
      <c r="D966" s="247"/>
      <c r="E966" s="316"/>
      <c r="F966" s="449"/>
      <c r="G966" s="457">
        <f t="shared" si="51"/>
        <v>0</v>
      </c>
    </row>
    <row r="967" spans="1:7" ht="20.25">
      <c r="A967" s="313"/>
      <c r="B967" s="284" t="s">
        <v>1070</v>
      </c>
      <c r="C967" s="398" t="s">
        <v>3347</v>
      </c>
      <c r="D967" s="247"/>
      <c r="E967" s="316"/>
      <c r="F967" s="449"/>
      <c r="G967" s="457">
        <f t="shared" si="51"/>
        <v>0</v>
      </c>
    </row>
    <row r="968" spans="1:7" ht="32.25">
      <c r="A968" s="313"/>
      <c r="B968" s="353" t="s">
        <v>946</v>
      </c>
      <c r="C968" s="397"/>
      <c r="D968" s="247"/>
      <c r="E968" s="316"/>
      <c r="F968" s="439"/>
      <c r="G968" s="457">
        <f t="shared" si="51"/>
        <v>0</v>
      </c>
    </row>
    <row r="969" spans="1:7" ht="79.5">
      <c r="A969" s="313"/>
      <c r="B969" s="284" t="s">
        <v>2056</v>
      </c>
      <c r="C969" s="398" t="s">
        <v>3347</v>
      </c>
      <c r="D969" s="247"/>
      <c r="E969" s="316"/>
      <c r="F969" s="449"/>
      <c r="G969" s="457">
        <f t="shared" si="51"/>
        <v>0</v>
      </c>
    </row>
    <row r="970" spans="1:7" ht="20.25">
      <c r="A970" s="313"/>
      <c r="B970" s="284" t="s">
        <v>3098</v>
      </c>
      <c r="C970" s="398" t="s">
        <v>1130</v>
      </c>
      <c r="D970" s="247"/>
      <c r="E970" s="316"/>
      <c r="F970" s="449"/>
      <c r="G970" s="457">
        <f t="shared" si="51"/>
        <v>0</v>
      </c>
    </row>
    <row r="971" spans="1:7">
      <c r="A971" s="313"/>
      <c r="B971" s="353" t="s">
        <v>1715</v>
      </c>
      <c r="C971" s="397"/>
      <c r="D971" s="247"/>
      <c r="E971" s="316"/>
      <c r="F971" s="439"/>
      <c r="G971" s="457">
        <f t="shared" si="51"/>
        <v>0</v>
      </c>
    </row>
    <row r="972" spans="1:7" ht="95.25">
      <c r="A972" s="313"/>
      <c r="B972" s="284" t="s">
        <v>696</v>
      </c>
      <c r="C972" s="321" t="s">
        <v>3347</v>
      </c>
      <c r="D972" s="247"/>
      <c r="E972" s="316"/>
      <c r="F972" s="449"/>
      <c r="G972" s="457">
        <f t="shared" si="51"/>
        <v>0</v>
      </c>
    </row>
    <row r="973" spans="1:7" ht="82.5">
      <c r="A973" s="340">
        <v>54</v>
      </c>
      <c r="B973" s="313" t="s">
        <v>3527</v>
      </c>
      <c r="C973" s="321"/>
      <c r="D973" s="247"/>
      <c r="E973" s="316"/>
      <c r="F973" s="449"/>
      <c r="G973" s="457">
        <f t="shared" ref="G973:G1036" si="53">FLOOR(F973*1.035,0.01)</f>
        <v>0</v>
      </c>
    </row>
    <row r="974" spans="1:7">
      <c r="A974" s="313"/>
      <c r="B974" s="345" t="s">
        <v>3528</v>
      </c>
      <c r="C974" s="321" t="s">
        <v>1081</v>
      </c>
      <c r="D974" s="247">
        <v>210</v>
      </c>
      <c r="E974" s="321" t="s">
        <v>1081</v>
      </c>
      <c r="F974" s="436">
        <f>D974</f>
        <v>210</v>
      </c>
      <c r="G974" s="457">
        <f t="shared" si="53"/>
        <v>217.35</v>
      </c>
    </row>
    <row r="975" spans="1:7">
      <c r="A975" s="313"/>
      <c r="B975" s="345" t="s">
        <v>3529</v>
      </c>
      <c r="C975" s="321" t="s">
        <v>1081</v>
      </c>
      <c r="D975" s="247">
        <v>252</v>
      </c>
      <c r="E975" s="321" t="s">
        <v>1081</v>
      </c>
      <c r="F975" s="436">
        <f>D975</f>
        <v>252</v>
      </c>
      <c r="G975" s="457">
        <f t="shared" si="53"/>
        <v>260.82</v>
      </c>
    </row>
    <row r="976" spans="1:7">
      <c r="A976" s="313"/>
      <c r="B976" s="345" t="s">
        <v>3530</v>
      </c>
      <c r="C976" s="321" t="s">
        <v>1081</v>
      </c>
      <c r="D976" s="247">
        <v>347</v>
      </c>
      <c r="E976" s="321" t="s">
        <v>1081</v>
      </c>
      <c r="F976" s="436">
        <f>D976</f>
        <v>347</v>
      </c>
      <c r="G976" s="457">
        <f t="shared" si="53"/>
        <v>359.14</v>
      </c>
    </row>
    <row r="977" spans="1:7">
      <c r="A977" s="313"/>
      <c r="B977" s="345" t="s">
        <v>3531</v>
      </c>
      <c r="C977" s="321" t="s">
        <v>1081</v>
      </c>
      <c r="D977" s="247">
        <v>142</v>
      </c>
      <c r="E977" s="321" t="s">
        <v>1081</v>
      </c>
      <c r="F977" s="436">
        <f>D977</f>
        <v>142</v>
      </c>
      <c r="G977" s="457">
        <f t="shared" si="53"/>
        <v>146.97</v>
      </c>
    </row>
    <row r="978" spans="1:7" ht="20.25">
      <c r="A978" s="340">
        <v>55</v>
      </c>
      <c r="B978" s="313" t="s">
        <v>697</v>
      </c>
      <c r="C978" s="321"/>
      <c r="D978" s="247"/>
      <c r="E978" s="322"/>
      <c r="F978" s="449"/>
      <c r="G978" s="457">
        <f t="shared" si="53"/>
        <v>0</v>
      </c>
    </row>
    <row r="979" spans="1:7" ht="32.25">
      <c r="A979" s="340"/>
      <c r="B979" s="334" t="s">
        <v>698</v>
      </c>
      <c r="C979" s="321" t="s">
        <v>3347</v>
      </c>
      <c r="D979" s="247">
        <v>35</v>
      </c>
      <c r="E979" s="315" t="s">
        <v>2110</v>
      </c>
      <c r="F979" s="429">
        <f>FLOOR(D979*10.76,0.01)</f>
        <v>376.6</v>
      </c>
      <c r="G979" s="457">
        <f t="shared" si="53"/>
        <v>389.78000000000003</v>
      </c>
    </row>
    <row r="980" spans="1:7" ht="17.25" customHeight="1">
      <c r="A980" s="313"/>
      <c r="B980" s="334" t="s">
        <v>1754</v>
      </c>
      <c r="C980" s="321" t="s">
        <v>2201</v>
      </c>
      <c r="D980" s="247">
        <v>44</v>
      </c>
      <c r="E980" s="315" t="s">
        <v>2110</v>
      </c>
      <c r="F980" s="429">
        <f>FLOOR(D980*10.76,0.01)</f>
        <v>473.44</v>
      </c>
      <c r="G980" s="457">
        <f t="shared" si="53"/>
        <v>490.01</v>
      </c>
    </row>
    <row r="981" spans="1:7" ht="46.5" customHeight="1">
      <c r="A981" s="313"/>
      <c r="B981" s="334" t="s">
        <v>1755</v>
      </c>
      <c r="C981" s="321" t="s">
        <v>1130</v>
      </c>
      <c r="D981" s="247">
        <v>44</v>
      </c>
      <c r="E981" s="315" t="s">
        <v>2110</v>
      </c>
      <c r="F981" s="429">
        <f>FLOOR(D981*10.76,0.01)</f>
        <v>473.44</v>
      </c>
      <c r="G981" s="457">
        <f t="shared" si="53"/>
        <v>490.01</v>
      </c>
    </row>
    <row r="982" spans="1:7">
      <c r="A982" s="313"/>
      <c r="B982" s="334" t="s">
        <v>1756</v>
      </c>
      <c r="C982" s="321" t="s">
        <v>3347</v>
      </c>
      <c r="D982" s="247">
        <v>52</v>
      </c>
      <c r="E982" s="315" t="s">
        <v>2110</v>
      </c>
      <c r="F982" s="429">
        <f>FLOOR(D982*10.76,0.01)</f>
        <v>559.52</v>
      </c>
      <c r="G982" s="457">
        <f t="shared" si="53"/>
        <v>579.1</v>
      </c>
    </row>
    <row r="983" spans="1:7">
      <c r="A983" s="313"/>
      <c r="B983" s="334" t="s">
        <v>1757</v>
      </c>
      <c r="C983" s="399" t="s">
        <v>1758</v>
      </c>
      <c r="D983" s="247">
        <v>325</v>
      </c>
      <c r="E983" s="399" t="s">
        <v>1758</v>
      </c>
      <c r="F983" s="436">
        <f>D983</f>
        <v>325</v>
      </c>
      <c r="G983" s="457">
        <f t="shared" si="53"/>
        <v>336.37</v>
      </c>
    </row>
    <row r="984" spans="1:7">
      <c r="A984" s="340">
        <v>56</v>
      </c>
      <c r="B984" s="353" t="s">
        <v>1759</v>
      </c>
      <c r="C984" s="400"/>
      <c r="D984" s="247"/>
      <c r="E984" s="401"/>
      <c r="F984" s="450"/>
      <c r="G984" s="457">
        <f t="shared" si="53"/>
        <v>0</v>
      </c>
    </row>
    <row r="985" spans="1:7">
      <c r="A985" s="313"/>
      <c r="B985" s="345" t="s">
        <v>1821</v>
      </c>
      <c r="C985" s="321" t="s">
        <v>803</v>
      </c>
      <c r="D985" s="247">
        <v>369</v>
      </c>
      <c r="E985" s="321" t="s">
        <v>803</v>
      </c>
      <c r="F985" s="436">
        <f>D985</f>
        <v>369</v>
      </c>
      <c r="G985" s="457">
        <f t="shared" si="53"/>
        <v>381.91</v>
      </c>
    </row>
    <row r="986" spans="1:7">
      <c r="A986" s="313"/>
      <c r="B986" s="345" t="s">
        <v>1822</v>
      </c>
      <c r="C986" s="321" t="s">
        <v>2232</v>
      </c>
      <c r="D986" s="247">
        <v>669</v>
      </c>
      <c r="E986" s="321" t="s">
        <v>803</v>
      </c>
      <c r="F986" s="436">
        <f>D986</f>
        <v>669</v>
      </c>
      <c r="G986" s="457">
        <f t="shared" si="53"/>
        <v>692.41</v>
      </c>
    </row>
    <row r="987" spans="1:7">
      <c r="A987" s="313"/>
      <c r="B987" s="345" t="s">
        <v>1823</v>
      </c>
      <c r="C987" s="321" t="s">
        <v>2232</v>
      </c>
      <c r="D987" s="247">
        <v>1270</v>
      </c>
      <c r="E987" s="321" t="s">
        <v>803</v>
      </c>
      <c r="F987" s="436">
        <f>D987</f>
        <v>1270</v>
      </c>
      <c r="G987" s="457">
        <f t="shared" si="53"/>
        <v>1314.45</v>
      </c>
    </row>
    <row r="988" spans="1:7">
      <c r="A988" s="313"/>
      <c r="B988" s="345" t="s">
        <v>1824</v>
      </c>
      <c r="C988" s="321" t="s">
        <v>2232</v>
      </c>
      <c r="D988" s="247">
        <v>1458</v>
      </c>
      <c r="E988" s="321" t="s">
        <v>803</v>
      </c>
      <c r="F988" s="436">
        <f>D988</f>
        <v>1458</v>
      </c>
      <c r="G988" s="457">
        <f t="shared" si="53"/>
        <v>1509.03</v>
      </c>
    </row>
    <row r="989" spans="1:7">
      <c r="A989" s="313">
        <v>57</v>
      </c>
      <c r="B989" s="377" t="s">
        <v>1760</v>
      </c>
      <c r="C989" s="321"/>
      <c r="D989" s="247"/>
      <c r="E989" s="316"/>
      <c r="F989" s="428"/>
      <c r="G989" s="457">
        <f t="shared" si="53"/>
        <v>0</v>
      </c>
    </row>
    <row r="990" spans="1:7">
      <c r="A990" s="313"/>
      <c r="B990" s="353" t="s">
        <v>1761</v>
      </c>
      <c r="C990" s="402"/>
      <c r="D990" s="247"/>
      <c r="E990" s="401"/>
      <c r="F990" s="428"/>
      <c r="G990" s="457">
        <f t="shared" si="53"/>
        <v>0</v>
      </c>
    </row>
    <row r="991" spans="1:7" ht="48">
      <c r="A991" s="313"/>
      <c r="B991" s="284" t="s">
        <v>1762</v>
      </c>
      <c r="C991" s="321" t="s">
        <v>3170</v>
      </c>
      <c r="D991" s="247">
        <v>733</v>
      </c>
      <c r="E991" s="321" t="s">
        <v>3170</v>
      </c>
      <c r="F991" s="436">
        <v>733</v>
      </c>
      <c r="G991" s="457">
        <f t="shared" si="53"/>
        <v>758.65</v>
      </c>
    </row>
    <row r="992" spans="1:7" ht="48">
      <c r="A992" s="340"/>
      <c r="B992" s="284" t="s">
        <v>3447</v>
      </c>
      <c r="C992" s="321" t="s">
        <v>2201</v>
      </c>
      <c r="D992" s="247"/>
      <c r="E992" s="322"/>
      <c r="F992" s="428"/>
      <c r="G992" s="457">
        <f t="shared" si="53"/>
        <v>0</v>
      </c>
    </row>
    <row r="993" spans="1:7" ht="48">
      <c r="A993" s="340"/>
      <c r="B993" s="284" t="s">
        <v>3448</v>
      </c>
      <c r="C993" s="321" t="s">
        <v>2201</v>
      </c>
      <c r="D993" s="247"/>
      <c r="E993" s="322"/>
      <c r="F993" s="451"/>
      <c r="G993" s="457">
        <f t="shared" si="53"/>
        <v>0</v>
      </c>
    </row>
    <row r="994" spans="1:7" ht="32.25">
      <c r="A994" s="340"/>
      <c r="B994" s="284" t="s">
        <v>3449</v>
      </c>
      <c r="C994" s="321" t="s">
        <v>3347</v>
      </c>
      <c r="D994" s="247"/>
      <c r="E994" s="322"/>
      <c r="F994" s="428"/>
      <c r="G994" s="457">
        <f t="shared" si="53"/>
        <v>0</v>
      </c>
    </row>
    <row r="995" spans="1:7" ht="21" customHeight="1">
      <c r="A995" s="340"/>
      <c r="B995" s="317" t="s">
        <v>3450</v>
      </c>
      <c r="C995" s="321" t="s">
        <v>1130</v>
      </c>
      <c r="D995" s="247"/>
      <c r="E995" s="322"/>
      <c r="F995" s="428"/>
      <c r="G995" s="457">
        <f t="shared" si="53"/>
        <v>0</v>
      </c>
    </row>
    <row r="996" spans="1:7">
      <c r="A996" s="340"/>
      <c r="B996" s="317" t="s">
        <v>3506</v>
      </c>
      <c r="C996" s="336" t="s">
        <v>1130</v>
      </c>
      <c r="D996" s="247"/>
      <c r="E996" s="322"/>
      <c r="F996" s="428"/>
      <c r="G996" s="457">
        <f t="shared" si="53"/>
        <v>0</v>
      </c>
    </row>
    <row r="997" spans="1:7" ht="98.25">
      <c r="A997" s="340"/>
      <c r="B997" s="345" t="s">
        <v>3507</v>
      </c>
      <c r="C997" s="321" t="s">
        <v>1763</v>
      </c>
      <c r="D997" s="247"/>
      <c r="E997" s="322"/>
      <c r="F997" s="428"/>
      <c r="G997" s="457">
        <f t="shared" si="53"/>
        <v>0</v>
      </c>
    </row>
    <row r="998" spans="1:7">
      <c r="A998" s="340"/>
      <c r="B998" s="353" t="s">
        <v>1764</v>
      </c>
      <c r="C998" s="321" t="s">
        <v>3170</v>
      </c>
      <c r="D998" s="247">
        <v>455</v>
      </c>
      <c r="E998" s="321" t="s">
        <v>3170</v>
      </c>
      <c r="F998" s="436">
        <f>D998</f>
        <v>455</v>
      </c>
      <c r="G998" s="457">
        <f t="shared" si="53"/>
        <v>470.92</v>
      </c>
    </row>
    <row r="999" spans="1:7" ht="36.75">
      <c r="A999" s="340"/>
      <c r="B999" s="317" t="s">
        <v>3508</v>
      </c>
      <c r="C999" s="321"/>
      <c r="D999" s="247"/>
      <c r="E999" s="322"/>
      <c r="F999" s="428"/>
      <c r="G999" s="457">
        <f t="shared" si="53"/>
        <v>0</v>
      </c>
    </row>
    <row r="1000" spans="1:7">
      <c r="A1000" s="340"/>
      <c r="B1000" s="365" t="s">
        <v>3509</v>
      </c>
      <c r="C1000" s="321" t="s">
        <v>3347</v>
      </c>
      <c r="D1000" s="247"/>
      <c r="E1000" s="322"/>
      <c r="F1000" s="428"/>
      <c r="G1000" s="457">
        <f t="shared" si="53"/>
        <v>0</v>
      </c>
    </row>
    <row r="1001" spans="1:7">
      <c r="A1001" s="340"/>
      <c r="B1001" s="365" t="s">
        <v>1492</v>
      </c>
      <c r="C1001" s="321" t="s">
        <v>2621</v>
      </c>
      <c r="D1001" s="247"/>
      <c r="E1001" s="322"/>
      <c r="F1001" s="428"/>
      <c r="G1001" s="457">
        <f t="shared" si="53"/>
        <v>0</v>
      </c>
    </row>
    <row r="1002" spans="1:7">
      <c r="A1002" s="340">
        <v>58</v>
      </c>
      <c r="B1002" s="388" t="s">
        <v>1765</v>
      </c>
      <c r="C1002" s="321"/>
      <c r="D1002" s="247"/>
      <c r="E1002" s="316"/>
      <c r="F1002" s="428"/>
      <c r="G1002" s="457">
        <f t="shared" si="53"/>
        <v>0</v>
      </c>
    </row>
    <row r="1003" spans="1:7" ht="63.75">
      <c r="A1003" s="340"/>
      <c r="B1003" s="284" t="s">
        <v>1766</v>
      </c>
      <c r="C1003" s="321" t="s">
        <v>2201</v>
      </c>
      <c r="D1003" s="247"/>
      <c r="E1003" s="316"/>
      <c r="F1003" s="428"/>
      <c r="G1003" s="457">
        <f t="shared" si="53"/>
        <v>0</v>
      </c>
    </row>
    <row r="1004" spans="1:7" ht="48">
      <c r="A1004" s="340"/>
      <c r="B1004" s="284" t="s">
        <v>1767</v>
      </c>
      <c r="C1004" s="321" t="s">
        <v>2201</v>
      </c>
      <c r="D1004" s="247"/>
      <c r="E1004" s="316"/>
      <c r="F1004" s="428"/>
      <c r="G1004" s="457">
        <f t="shared" si="53"/>
        <v>0</v>
      </c>
    </row>
    <row r="1005" spans="1:7">
      <c r="A1005" s="340">
        <v>59</v>
      </c>
      <c r="B1005" s="354" t="s">
        <v>1768</v>
      </c>
      <c r="C1005" s="321"/>
      <c r="D1005" s="247"/>
      <c r="E1005" s="316"/>
      <c r="F1005" s="428"/>
      <c r="G1005" s="457">
        <f t="shared" si="53"/>
        <v>0</v>
      </c>
    </row>
    <row r="1006" spans="1:7" ht="34.5">
      <c r="A1006" s="340"/>
      <c r="B1006" s="284" t="s">
        <v>1493</v>
      </c>
      <c r="C1006" s="321" t="s">
        <v>2201</v>
      </c>
      <c r="D1006" s="247"/>
      <c r="E1006" s="316"/>
      <c r="F1006" s="428"/>
      <c r="G1006" s="457">
        <f t="shared" si="53"/>
        <v>0</v>
      </c>
    </row>
    <row r="1007" spans="1:7" ht="48">
      <c r="A1007" s="340"/>
      <c r="B1007" s="284" t="s">
        <v>1769</v>
      </c>
      <c r="C1007" s="327"/>
      <c r="D1007" s="247"/>
      <c r="E1007" s="316"/>
      <c r="F1007" s="428"/>
      <c r="G1007" s="457">
        <f t="shared" si="53"/>
        <v>0</v>
      </c>
    </row>
    <row r="1008" spans="1:7">
      <c r="A1008" s="340"/>
      <c r="B1008" s="403" t="s">
        <v>1770</v>
      </c>
      <c r="C1008" s="327" t="s">
        <v>3261</v>
      </c>
      <c r="D1008" s="247">
        <v>123.36</v>
      </c>
      <c r="E1008" s="321" t="s">
        <v>3170</v>
      </c>
      <c r="F1008" s="429">
        <f>FLOOR(D1008*10.76,0.01)</f>
        <v>1327.3500000000001</v>
      </c>
      <c r="G1008" s="457">
        <f t="shared" si="53"/>
        <v>1373.8</v>
      </c>
    </row>
    <row r="1009" spans="1:7">
      <c r="A1009" s="340"/>
      <c r="B1009" s="403" t="s">
        <v>1771</v>
      </c>
      <c r="C1009" s="327" t="s">
        <v>3261</v>
      </c>
      <c r="D1009" s="247"/>
      <c r="E1009" s="321" t="s">
        <v>3170</v>
      </c>
      <c r="F1009" s="429">
        <f>FLOOR(D1009*10.76,0.01)</f>
        <v>0</v>
      </c>
      <c r="G1009" s="457">
        <f t="shared" si="53"/>
        <v>0</v>
      </c>
    </row>
    <row r="1010" spans="1:7">
      <c r="A1010" s="340">
        <v>60</v>
      </c>
      <c r="B1010" s="313" t="s">
        <v>1772</v>
      </c>
      <c r="C1010" s="321"/>
      <c r="D1010" s="247"/>
      <c r="E1010" s="316"/>
      <c r="F1010" s="428"/>
      <c r="G1010" s="457">
        <f t="shared" si="53"/>
        <v>0</v>
      </c>
    </row>
    <row r="1011" spans="1:7">
      <c r="A1011" s="340"/>
      <c r="B1011" s="284" t="s">
        <v>1773</v>
      </c>
      <c r="C1011" s="321" t="s">
        <v>3347</v>
      </c>
      <c r="D1011" s="247">
        <v>215</v>
      </c>
      <c r="E1011" s="316"/>
      <c r="F1011" s="428"/>
      <c r="G1011" s="457">
        <f t="shared" si="53"/>
        <v>0</v>
      </c>
    </row>
    <row r="1012" spans="1:7">
      <c r="A1012" s="340"/>
      <c r="B1012" s="284" t="s">
        <v>1774</v>
      </c>
      <c r="C1012" s="321" t="s">
        <v>1130</v>
      </c>
      <c r="D1012" s="247">
        <v>192</v>
      </c>
      <c r="E1012" s="316"/>
      <c r="F1012" s="428"/>
      <c r="G1012" s="457">
        <f t="shared" si="53"/>
        <v>0</v>
      </c>
    </row>
    <row r="1013" spans="1:7" ht="44.25">
      <c r="A1013" s="340"/>
      <c r="B1013" s="404" t="s">
        <v>1494</v>
      </c>
      <c r="C1013" s="405"/>
      <c r="D1013" s="247"/>
      <c r="E1013" s="406"/>
      <c r="F1013" s="428"/>
      <c r="G1013" s="457">
        <f t="shared" si="53"/>
        <v>0</v>
      </c>
    </row>
    <row r="1014" spans="1:7">
      <c r="A1014" s="340"/>
      <c r="B1014" s="407" t="s">
        <v>1775</v>
      </c>
      <c r="C1014" s="327" t="s">
        <v>3261</v>
      </c>
      <c r="D1014" s="247"/>
      <c r="E1014" s="321" t="s">
        <v>3170</v>
      </c>
      <c r="F1014" s="429">
        <f>FLOOR(D1014*10.76,0.01)</f>
        <v>0</v>
      </c>
      <c r="G1014" s="457">
        <f t="shared" si="53"/>
        <v>0</v>
      </c>
    </row>
    <row r="1015" spans="1:7">
      <c r="A1015" s="340"/>
      <c r="B1015" s="407" t="s">
        <v>3571</v>
      </c>
      <c r="C1015" s="327" t="s">
        <v>3261</v>
      </c>
      <c r="D1015" s="247"/>
      <c r="E1015" s="321" t="s">
        <v>3170</v>
      </c>
      <c r="F1015" s="429">
        <f>FLOOR(D1015*10.76,0.01)</f>
        <v>0</v>
      </c>
      <c r="G1015" s="457">
        <f t="shared" si="53"/>
        <v>0</v>
      </c>
    </row>
    <row r="1016" spans="1:7">
      <c r="A1016" s="340"/>
      <c r="B1016" s="408" t="s">
        <v>3572</v>
      </c>
      <c r="C1016" s="327"/>
      <c r="D1016" s="247"/>
      <c r="E1016" s="316"/>
      <c r="F1016" s="429">
        <f>FLOOR(D1016*10.76,0.01)</f>
        <v>0</v>
      </c>
      <c r="G1016" s="457">
        <f t="shared" si="53"/>
        <v>0</v>
      </c>
    </row>
    <row r="1017" spans="1:7">
      <c r="A1017" s="340"/>
      <c r="B1017" s="407" t="s">
        <v>1775</v>
      </c>
      <c r="C1017" s="327" t="s">
        <v>3261</v>
      </c>
      <c r="D1017" s="247"/>
      <c r="E1017" s="321" t="s">
        <v>3170</v>
      </c>
      <c r="F1017" s="429">
        <f>FLOOR(D1017*10.76,0.01)</f>
        <v>0</v>
      </c>
      <c r="G1017" s="457">
        <f t="shared" si="53"/>
        <v>0</v>
      </c>
    </row>
    <row r="1018" spans="1:7">
      <c r="A1018" s="340"/>
      <c r="B1018" s="407" t="s">
        <v>3571</v>
      </c>
      <c r="C1018" s="327" t="s">
        <v>3261</v>
      </c>
      <c r="D1018" s="247"/>
      <c r="E1018" s="321" t="s">
        <v>3170</v>
      </c>
      <c r="F1018" s="429">
        <f>FLOOR(D1018*10.76,0.01)</f>
        <v>0</v>
      </c>
      <c r="G1018" s="457">
        <f t="shared" si="53"/>
        <v>0</v>
      </c>
    </row>
    <row r="1019" spans="1:7" ht="52.5">
      <c r="A1019" s="340">
        <v>61</v>
      </c>
      <c r="B1019" s="314" t="s">
        <v>1152</v>
      </c>
      <c r="C1019" s="314"/>
      <c r="D1019" s="247"/>
      <c r="E1019" s="325"/>
      <c r="F1019" s="430"/>
      <c r="G1019" s="457">
        <f t="shared" si="53"/>
        <v>0</v>
      </c>
    </row>
    <row r="1020" spans="1:7">
      <c r="A1020" s="313"/>
      <c r="B1020" s="314" t="s">
        <v>1153</v>
      </c>
      <c r="C1020" s="314"/>
      <c r="D1020" s="247"/>
      <c r="E1020" s="325"/>
      <c r="F1020" s="430"/>
      <c r="G1020" s="457">
        <f t="shared" si="53"/>
        <v>0</v>
      </c>
    </row>
    <row r="1021" spans="1:7">
      <c r="A1021" s="313"/>
      <c r="B1021" s="317" t="s">
        <v>1154</v>
      </c>
      <c r="C1021" s="321" t="s">
        <v>803</v>
      </c>
      <c r="D1021" s="247">
        <v>1362</v>
      </c>
      <c r="E1021" s="321" t="s">
        <v>803</v>
      </c>
      <c r="F1021" s="436">
        <f t="shared" ref="F1021:F1028" si="54">D1021</f>
        <v>1362</v>
      </c>
      <c r="G1021" s="457">
        <f t="shared" si="53"/>
        <v>1409.67</v>
      </c>
    </row>
    <row r="1022" spans="1:7">
      <c r="A1022" s="313"/>
      <c r="B1022" s="317" t="s">
        <v>1155</v>
      </c>
      <c r="C1022" s="321" t="s">
        <v>1130</v>
      </c>
      <c r="D1022" s="247">
        <v>1839</v>
      </c>
      <c r="E1022" s="321" t="s">
        <v>803</v>
      </c>
      <c r="F1022" s="436">
        <f t="shared" si="54"/>
        <v>1839</v>
      </c>
      <c r="G1022" s="457">
        <f t="shared" si="53"/>
        <v>1903.3600000000001</v>
      </c>
    </row>
    <row r="1023" spans="1:7">
      <c r="A1023" s="313"/>
      <c r="B1023" s="317" t="s">
        <v>1156</v>
      </c>
      <c r="C1023" s="321" t="s">
        <v>1130</v>
      </c>
      <c r="D1023" s="247">
        <v>2696</v>
      </c>
      <c r="E1023" s="321" t="s">
        <v>803</v>
      </c>
      <c r="F1023" s="436">
        <f t="shared" si="54"/>
        <v>2696</v>
      </c>
      <c r="G1023" s="457">
        <f t="shared" si="53"/>
        <v>2790.36</v>
      </c>
    </row>
    <row r="1024" spans="1:7">
      <c r="A1024" s="313"/>
      <c r="B1024" s="333" t="s">
        <v>1157</v>
      </c>
      <c r="C1024" s="321" t="s">
        <v>1130</v>
      </c>
      <c r="D1024" s="247">
        <v>3554</v>
      </c>
      <c r="E1024" s="321" t="s">
        <v>803</v>
      </c>
      <c r="F1024" s="436">
        <f t="shared" si="54"/>
        <v>3554</v>
      </c>
      <c r="G1024" s="457">
        <f t="shared" si="53"/>
        <v>3678.39</v>
      </c>
    </row>
    <row r="1025" spans="1:7">
      <c r="A1025" s="313"/>
      <c r="B1025" s="333" t="s">
        <v>1158</v>
      </c>
      <c r="C1025" s="321" t="s">
        <v>1130</v>
      </c>
      <c r="D1025" s="247">
        <v>1980</v>
      </c>
      <c r="E1025" s="321" t="s">
        <v>803</v>
      </c>
      <c r="F1025" s="436">
        <f t="shared" si="54"/>
        <v>1980</v>
      </c>
      <c r="G1025" s="457">
        <f t="shared" si="53"/>
        <v>2049.3000000000002</v>
      </c>
    </row>
    <row r="1026" spans="1:7">
      <c r="A1026" s="313"/>
      <c r="B1026" s="333" t="s">
        <v>1159</v>
      </c>
      <c r="C1026" s="321" t="s">
        <v>1130</v>
      </c>
      <c r="D1026" s="247">
        <v>2696</v>
      </c>
      <c r="E1026" s="321" t="s">
        <v>803</v>
      </c>
      <c r="F1026" s="436">
        <f t="shared" si="54"/>
        <v>2696</v>
      </c>
      <c r="G1026" s="457">
        <f t="shared" si="53"/>
        <v>2790.36</v>
      </c>
    </row>
    <row r="1027" spans="1:7">
      <c r="A1027" s="313"/>
      <c r="B1027" s="333" t="s">
        <v>1160</v>
      </c>
      <c r="C1027" s="321" t="s">
        <v>1130</v>
      </c>
      <c r="D1027" s="247">
        <v>3842</v>
      </c>
      <c r="E1027" s="321" t="s">
        <v>803</v>
      </c>
      <c r="F1027" s="436">
        <f t="shared" si="54"/>
        <v>3842</v>
      </c>
      <c r="G1027" s="457">
        <f t="shared" si="53"/>
        <v>3976.4700000000003</v>
      </c>
    </row>
    <row r="1028" spans="1:7">
      <c r="A1028" s="313"/>
      <c r="B1028" s="333" t="s">
        <v>1161</v>
      </c>
      <c r="C1028" s="321" t="s">
        <v>1130</v>
      </c>
      <c r="D1028" s="247">
        <v>4938</v>
      </c>
      <c r="E1028" s="321" t="s">
        <v>803</v>
      </c>
      <c r="F1028" s="436">
        <f t="shared" si="54"/>
        <v>4938</v>
      </c>
      <c r="G1028" s="457">
        <f t="shared" si="53"/>
        <v>5110.83</v>
      </c>
    </row>
    <row r="1029" spans="1:7">
      <c r="A1029" s="313"/>
      <c r="B1029" s="314" t="s">
        <v>1162</v>
      </c>
      <c r="C1029" s="314"/>
      <c r="D1029" s="247"/>
      <c r="E1029" s="321"/>
      <c r="F1029" s="436"/>
      <c r="G1029" s="457">
        <f t="shared" si="53"/>
        <v>0</v>
      </c>
    </row>
    <row r="1030" spans="1:7">
      <c r="A1030" s="313"/>
      <c r="B1030" s="326" t="s">
        <v>1163</v>
      </c>
      <c r="C1030" s="321" t="s">
        <v>803</v>
      </c>
      <c r="D1030" s="247">
        <v>11203</v>
      </c>
      <c r="E1030" s="321" t="s">
        <v>803</v>
      </c>
      <c r="F1030" s="436">
        <f t="shared" ref="F1030:F1037" si="55">D1030</f>
        <v>11203</v>
      </c>
      <c r="G1030" s="457">
        <f t="shared" si="53"/>
        <v>11595.1</v>
      </c>
    </row>
    <row r="1031" spans="1:7">
      <c r="A1031" s="313"/>
      <c r="B1031" s="326" t="s">
        <v>1164</v>
      </c>
      <c r="C1031" s="321" t="s">
        <v>1130</v>
      </c>
      <c r="D1031" s="247">
        <v>1504</v>
      </c>
      <c r="E1031" s="321" t="s">
        <v>803</v>
      </c>
      <c r="F1031" s="436">
        <f t="shared" si="55"/>
        <v>1504</v>
      </c>
      <c r="G1031" s="457">
        <f t="shared" si="53"/>
        <v>1556.64</v>
      </c>
    </row>
    <row r="1032" spans="1:7">
      <c r="A1032" s="313"/>
      <c r="B1032" s="365" t="s">
        <v>1165</v>
      </c>
      <c r="C1032" s="321" t="s">
        <v>1130</v>
      </c>
      <c r="D1032" s="247">
        <v>2202</v>
      </c>
      <c r="E1032" s="321" t="s">
        <v>803</v>
      </c>
      <c r="F1032" s="436">
        <f t="shared" si="55"/>
        <v>2202</v>
      </c>
      <c r="G1032" s="457">
        <f t="shared" si="53"/>
        <v>2279.0700000000002</v>
      </c>
    </row>
    <row r="1033" spans="1:7">
      <c r="A1033" s="313"/>
      <c r="B1033" s="365" t="s">
        <v>1166</v>
      </c>
      <c r="C1033" s="321" t="s">
        <v>1130</v>
      </c>
      <c r="D1033" s="247">
        <v>2905</v>
      </c>
      <c r="E1033" s="321" t="s">
        <v>803</v>
      </c>
      <c r="F1033" s="436">
        <f t="shared" si="55"/>
        <v>2905</v>
      </c>
      <c r="G1033" s="457">
        <f t="shared" si="53"/>
        <v>3006.67</v>
      </c>
    </row>
    <row r="1034" spans="1:7">
      <c r="A1034" s="313"/>
      <c r="B1034" s="365" t="s">
        <v>1167</v>
      </c>
      <c r="C1034" s="321" t="s">
        <v>1130</v>
      </c>
      <c r="D1034" s="247">
        <v>1604</v>
      </c>
      <c r="E1034" s="321" t="s">
        <v>803</v>
      </c>
      <c r="F1034" s="436">
        <f t="shared" si="55"/>
        <v>1604</v>
      </c>
      <c r="G1034" s="457">
        <f t="shared" si="53"/>
        <v>1660.14</v>
      </c>
    </row>
    <row r="1035" spans="1:7">
      <c r="A1035" s="313"/>
      <c r="B1035" s="365" t="s">
        <v>1168</v>
      </c>
      <c r="C1035" s="321" t="s">
        <v>1130</v>
      </c>
      <c r="D1035" s="247">
        <v>2182</v>
      </c>
      <c r="E1035" s="321" t="s">
        <v>803</v>
      </c>
      <c r="F1035" s="436">
        <f t="shared" si="55"/>
        <v>2182</v>
      </c>
      <c r="G1035" s="457">
        <f t="shared" si="53"/>
        <v>2258.37</v>
      </c>
    </row>
    <row r="1036" spans="1:7">
      <c r="A1036" s="313"/>
      <c r="B1036" s="365" t="s">
        <v>1169</v>
      </c>
      <c r="C1036" s="321" t="s">
        <v>1130</v>
      </c>
      <c r="D1036" s="247">
        <v>3110</v>
      </c>
      <c r="E1036" s="321" t="s">
        <v>803</v>
      </c>
      <c r="F1036" s="436">
        <f t="shared" si="55"/>
        <v>3110</v>
      </c>
      <c r="G1036" s="457">
        <f t="shared" si="53"/>
        <v>3218.85</v>
      </c>
    </row>
    <row r="1037" spans="1:7">
      <c r="A1037" s="313"/>
      <c r="B1037" s="365" t="s">
        <v>1170</v>
      </c>
      <c r="C1037" s="321" t="s">
        <v>1130</v>
      </c>
      <c r="D1037" s="247">
        <v>4076</v>
      </c>
      <c r="E1037" s="321" t="s">
        <v>803</v>
      </c>
      <c r="F1037" s="436">
        <f t="shared" si="55"/>
        <v>4076</v>
      </c>
      <c r="G1037" s="457">
        <f t="shared" ref="G1037:G1100" si="56">FLOOR(F1037*1.035,0.01)</f>
        <v>4218.66</v>
      </c>
    </row>
    <row r="1038" spans="1:7">
      <c r="A1038" s="313"/>
      <c r="B1038" s="314" t="s">
        <v>1171</v>
      </c>
      <c r="C1038" s="314"/>
      <c r="D1038" s="247"/>
      <c r="E1038" s="321"/>
      <c r="F1038" s="436"/>
      <c r="G1038" s="457">
        <f t="shared" si="56"/>
        <v>0</v>
      </c>
    </row>
    <row r="1039" spans="1:7">
      <c r="A1039" s="313"/>
      <c r="B1039" s="326" t="s">
        <v>1172</v>
      </c>
      <c r="C1039" s="321" t="s">
        <v>803</v>
      </c>
      <c r="D1039" s="247">
        <v>4620</v>
      </c>
      <c r="E1039" s="321" t="s">
        <v>803</v>
      </c>
      <c r="F1039" s="436">
        <f t="shared" ref="F1039:F1046" si="57">D1039</f>
        <v>4620</v>
      </c>
      <c r="G1039" s="457">
        <f t="shared" si="56"/>
        <v>4781.7</v>
      </c>
    </row>
    <row r="1040" spans="1:7">
      <c r="A1040" s="313"/>
      <c r="B1040" s="326" t="s">
        <v>1680</v>
      </c>
      <c r="C1040" s="321" t="s">
        <v>1130</v>
      </c>
      <c r="D1040" s="247">
        <v>6020</v>
      </c>
      <c r="E1040" s="321" t="s">
        <v>803</v>
      </c>
      <c r="F1040" s="436">
        <f t="shared" si="57"/>
        <v>6020</v>
      </c>
      <c r="G1040" s="457">
        <f t="shared" si="56"/>
        <v>6230.7</v>
      </c>
    </row>
    <row r="1041" spans="1:7">
      <c r="A1041" s="313"/>
      <c r="B1041" s="333" t="s">
        <v>1681</v>
      </c>
      <c r="C1041" s="321" t="s">
        <v>1130</v>
      </c>
      <c r="D1041" s="247">
        <v>7280</v>
      </c>
      <c r="E1041" s="321" t="s">
        <v>803</v>
      </c>
      <c r="F1041" s="436">
        <f t="shared" si="57"/>
        <v>7280</v>
      </c>
      <c r="G1041" s="457">
        <f t="shared" si="56"/>
        <v>7534.8</v>
      </c>
    </row>
    <row r="1042" spans="1:7">
      <c r="A1042" s="313"/>
      <c r="B1042" s="333" t="s">
        <v>1682</v>
      </c>
      <c r="C1042" s="321" t="s">
        <v>1130</v>
      </c>
      <c r="D1042" s="247">
        <v>8680</v>
      </c>
      <c r="E1042" s="321" t="s">
        <v>803</v>
      </c>
      <c r="F1042" s="436">
        <f t="shared" si="57"/>
        <v>8680</v>
      </c>
      <c r="G1042" s="457">
        <f t="shared" si="56"/>
        <v>8983.8000000000011</v>
      </c>
    </row>
    <row r="1043" spans="1:7">
      <c r="A1043" s="313"/>
      <c r="B1043" s="333" t="s">
        <v>1776</v>
      </c>
      <c r="C1043" s="321" t="s">
        <v>1130</v>
      </c>
      <c r="D1043" s="247">
        <v>6300</v>
      </c>
      <c r="E1043" s="321" t="s">
        <v>803</v>
      </c>
      <c r="F1043" s="436">
        <f t="shared" si="57"/>
        <v>6300</v>
      </c>
      <c r="G1043" s="457">
        <f t="shared" si="56"/>
        <v>6520.5</v>
      </c>
    </row>
    <row r="1044" spans="1:7">
      <c r="A1044" s="313"/>
      <c r="B1044" s="333" t="s">
        <v>1777</v>
      </c>
      <c r="C1044" s="321" t="s">
        <v>1130</v>
      </c>
      <c r="D1044" s="247">
        <v>8187</v>
      </c>
      <c r="E1044" s="321" t="s">
        <v>803</v>
      </c>
      <c r="F1044" s="436">
        <f t="shared" si="57"/>
        <v>8187</v>
      </c>
      <c r="G1044" s="457">
        <f t="shared" si="56"/>
        <v>8473.5400000000009</v>
      </c>
    </row>
    <row r="1045" spans="1:7">
      <c r="A1045" s="313"/>
      <c r="B1045" s="333" t="s">
        <v>1778</v>
      </c>
      <c r="C1045" s="321" t="s">
        <v>1130</v>
      </c>
      <c r="D1045" s="247">
        <v>9864</v>
      </c>
      <c r="E1045" s="321" t="s">
        <v>803</v>
      </c>
      <c r="F1045" s="436">
        <f t="shared" si="57"/>
        <v>9864</v>
      </c>
      <c r="G1045" s="457">
        <f t="shared" si="56"/>
        <v>10209.24</v>
      </c>
    </row>
    <row r="1046" spans="1:7">
      <c r="A1046" s="313"/>
      <c r="B1046" s="333" t="s">
        <v>2929</v>
      </c>
      <c r="C1046" s="321" t="s">
        <v>1130</v>
      </c>
      <c r="D1046" s="247">
        <v>11690</v>
      </c>
      <c r="E1046" s="321" t="s">
        <v>803</v>
      </c>
      <c r="F1046" s="436">
        <f t="shared" si="57"/>
        <v>11690</v>
      </c>
      <c r="G1046" s="457">
        <f t="shared" si="56"/>
        <v>12099.15</v>
      </c>
    </row>
    <row r="1047" spans="1:7">
      <c r="A1047" s="313"/>
      <c r="B1047" s="314" t="s">
        <v>2067</v>
      </c>
      <c r="C1047" s="314"/>
      <c r="D1047" s="247"/>
      <c r="E1047" s="321"/>
      <c r="F1047" s="436"/>
      <c r="G1047" s="457">
        <f t="shared" si="56"/>
        <v>0</v>
      </c>
    </row>
    <row r="1048" spans="1:7">
      <c r="A1048" s="313"/>
      <c r="B1048" s="326" t="s">
        <v>1172</v>
      </c>
      <c r="C1048" s="321" t="s">
        <v>803</v>
      </c>
      <c r="D1048" s="247">
        <v>3732</v>
      </c>
      <c r="E1048" s="321" t="s">
        <v>803</v>
      </c>
      <c r="F1048" s="436">
        <f t="shared" ref="F1048:F1055" si="58">D1048</f>
        <v>3732</v>
      </c>
      <c r="G1048" s="457">
        <f t="shared" si="56"/>
        <v>3862.62</v>
      </c>
    </row>
    <row r="1049" spans="1:7">
      <c r="A1049" s="313"/>
      <c r="B1049" s="326" t="s">
        <v>1680</v>
      </c>
      <c r="C1049" s="321" t="s">
        <v>1130</v>
      </c>
      <c r="D1049" s="247">
        <v>4880</v>
      </c>
      <c r="E1049" s="321" t="s">
        <v>803</v>
      </c>
      <c r="F1049" s="436">
        <f t="shared" si="58"/>
        <v>4880</v>
      </c>
      <c r="G1049" s="457">
        <f t="shared" si="56"/>
        <v>5050.8</v>
      </c>
    </row>
    <row r="1050" spans="1:7">
      <c r="A1050" s="313"/>
      <c r="B1050" s="333" t="s">
        <v>1681</v>
      </c>
      <c r="C1050" s="321" t="s">
        <v>1130</v>
      </c>
      <c r="D1050" s="247">
        <v>5884</v>
      </c>
      <c r="E1050" s="321" t="s">
        <v>803</v>
      </c>
      <c r="F1050" s="436">
        <f t="shared" si="58"/>
        <v>5884</v>
      </c>
      <c r="G1050" s="457">
        <f t="shared" si="56"/>
        <v>6089.9400000000005</v>
      </c>
    </row>
    <row r="1051" spans="1:7">
      <c r="A1051" s="313"/>
      <c r="B1051" s="333" t="s">
        <v>1682</v>
      </c>
      <c r="C1051" s="321" t="s">
        <v>1130</v>
      </c>
      <c r="D1051" s="247">
        <v>6889</v>
      </c>
      <c r="E1051" s="321" t="s">
        <v>803</v>
      </c>
      <c r="F1051" s="436">
        <f t="shared" si="58"/>
        <v>6889</v>
      </c>
      <c r="G1051" s="457">
        <f t="shared" si="56"/>
        <v>7130.1100000000006</v>
      </c>
    </row>
    <row r="1052" spans="1:7">
      <c r="A1052" s="313"/>
      <c r="B1052" s="333" t="s">
        <v>2068</v>
      </c>
      <c r="C1052" s="321" t="s">
        <v>1130</v>
      </c>
      <c r="D1052" s="247">
        <v>5167</v>
      </c>
      <c r="E1052" s="321" t="s">
        <v>803</v>
      </c>
      <c r="F1052" s="436">
        <f t="shared" si="58"/>
        <v>5167</v>
      </c>
      <c r="G1052" s="457">
        <f t="shared" si="56"/>
        <v>5347.84</v>
      </c>
    </row>
    <row r="1053" spans="1:7">
      <c r="A1053" s="313"/>
      <c r="B1053" s="333" t="s">
        <v>1777</v>
      </c>
      <c r="C1053" s="321" t="s">
        <v>1130</v>
      </c>
      <c r="D1053" s="247">
        <v>6674</v>
      </c>
      <c r="E1053" s="321" t="s">
        <v>803</v>
      </c>
      <c r="F1053" s="436">
        <f t="shared" si="58"/>
        <v>6674</v>
      </c>
      <c r="G1053" s="457">
        <f t="shared" si="56"/>
        <v>6907.59</v>
      </c>
    </row>
    <row r="1054" spans="1:7">
      <c r="A1054" s="313"/>
      <c r="B1054" s="333" t="s">
        <v>2069</v>
      </c>
      <c r="C1054" s="321" t="s">
        <v>1130</v>
      </c>
      <c r="D1054" s="247">
        <v>8253</v>
      </c>
      <c r="E1054" s="321" t="s">
        <v>803</v>
      </c>
      <c r="F1054" s="436">
        <f t="shared" si="58"/>
        <v>8253</v>
      </c>
      <c r="G1054" s="457">
        <f t="shared" si="56"/>
        <v>8541.85</v>
      </c>
    </row>
    <row r="1055" spans="1:7">
      <c r="A1055" s="313"/>
      <c r="B1055" s="333" t="s">
        <v>2929</v>
      </c>
      <c r="C1055" s="321" t="s">
        <v>1130</v>
      </c>
      <c r="D1055" s="247">
        <v>9830</v>
      </c>
      <c r="E1055" s="321" t="s">
        <v>803</v>
      </c>
      <c r="F1055" s="436">
        <f t="shared" si="58"/>
        <v>9830</v>
      </c>
      <c r="G1055" s="457">
        <f t="shared" si="56"/>
        <v>10174.050000000001</v>
      </c>
    </row>
    <row r="1056" spans="1:7">
      <c r="A1056" s="313"/>
      <c r="B1056" s="314" t="s">
        <v>2070</v>
      </c>
      <c r="C1056" s="314"/>
      <c r="D1056" s="247"/>
      <c r="E1056" s="321"/>
      <c r="F1056" s="436"/>
      <c r="G1056" s="457">
        <f t="shared" si="56"/>
        <v>0</v>
      </c>
    </row>
    <row r="1057" spans="1:7">
      <c r="A1057" s="313"/>
      <c r="B1057" s="317" t="s">
        <v>2071</v>
      </c>
      <c r="C1057" s="321" t="s">
        <v>803</v>
      </c>
      <c r="D1057" s="247">
        <v>2642</v>
      </c>
      <c r="E1057" s="321" t="s">
        <v>803</v>
      </c>
      <c r="F1057" s="436">
        <f t="shared" ref="F1057:F1068" si="59">D1057</f>
        <v>2642</v>
      </c>
      <c r="G1057" s="457">
        <f t="shared" si="56"/>
        <v>2734.4700000000003</v>
      </c>
    </row>
    <row r="1058" spans="1:7">
      <c r="A1058" s="313"/>
      <c r="B1058" s="326" t="s">
        <v>2072</v>
      </c>
      <c r="C1058" s="321" t="s">
        <v>1130</v>
      </c>
      <c r="D1058" s="247">
        <v>3463</v>
      </c>
      <c r="E1058" s="321" t="s">
        <v>803</v>
      </c>
      <c r="F1058" s="436">
        <f t="shared" si="59"/>
        <v>3463</v>
      </c>
      <c r="G1058" s="457">
        <f t="shared" si="56"/>
        <v>3584.2000000000003</v>
      </c>
    </row>
    <row r="1059" spans="1:7">
      <c r="A1059" s="313"/>
      <c r="B1059" s="365" t="s">
        <v>2073</v>
      </c>
      <c r="C1059" s="321" t="s">
        <v>1130</v>
      </c>
      <c r="D1059" s="247">
        <v>4286</v>
      </c>
      <c r="E1059" s="321" t="s">
        <v>803</v>
      </c>
      <c r="F1059" s="436">
        <f t="shared" si="59"/>
        <v>4286</v>
      </c>
      <c r="G1059" s="457">
        <f t="shared" si="56"/>
        <v>4436.01</v>
      </c>
    </row>
    <row r="1060" spans="1:7">
      <c r="A1060" s="313"/>
      <c r="B1060" s="365" t="s">
        <v>2074</v>
      </c>
      <c r="C1060" s="321" t="s">
        <v>1130</v>
      </c>
      <c r="D1060" s="247">
        <v>5106</v>
      </c>
      <c r="E1060" s="321" t="s">
        <v>803</v>
      </c>
      <c r="F1060" s="436">
        <f t="shared" si="59"/>
        <v>5106</v>
      </c>
      <c r="G1060" s="457">
        <f t="shared" si="56"/>
        <v>5284.71</v>
      </c>
    </row>
    <row r="1061" spans="1:7">
      <c r="A1061" s="313"/>
      <c r="B1061" s="365" t="s">
        <v>2075</v>
      </c>
      <c r="C1061" s="321" t="s">
        <v>1130</v>
      </c>
      <c r="D1061" s="247">
        <v>2802</v>
      </c>
      <c r="E1061" s="321" t="s">
        <v>803</v>
      </c>
      <c r="F1061" s="436">
        <f t="shared" si="59"/>
        <v>2802</v>
      </c>
      <c r="G1061" s="457">
        <f t="shared" si="56"/>
        <v>2900.07</v>
      </c>
    </row>
    <row r="1062" spans="1:7">
      <c r="A1062" s="313"/>
      <c r="B1062" s="365" t="s">
        <v>2076</v>
      </c>
      <c r="C1062" s="321" t="s">
        <v>1130</v>
      </c>
      <c r="D1062" s="247">
        <v>3664</v>
      </c>
      <c r="E1062" s="321" t="s">
        <v>803</v>
      </c>
      <c r="F1062" s="436">
        <f t="shared" si="59"/>
        <v>3664</v>
      </c>
      <c r="G1062" s="457">
        <f t="shared" si="56"/>
        <v>3792.2400000000002</v>
      </c>
    </row>
    <row r="1063" spans="1:7">
      <c r="A1063" s="313"/>
      <c r="B1063" s="365" t="s">
        <v>2077</v>
      </c>
      <c r="C1063" s="321" t="s">
        <v>1130</v>
      </c>
      <c r="D1063" s="247">
        <v>4525</v>
      </c>
      <c r="E1063" s="321" t="s">
        <v>803</v>
      </c>
      <c r="F1063" s="436">
        <f t="shared" si="59"/>
        <v>4525</v>
      </c>
      <c r="G1063" s="457">
        <f t="shared" si="56"/>
        <v>4683.37</v>
      </c>
    </row>
    <row r="1064" spans="1:7">
      <c r="A1064" s="313"/>
      <c r="B1064" s="365" t="s">
        <v>2078</v>
      </c>
      <c r="C1064" s="321" t="s">
        <v>1130</v>
      </c>
      <c r="D1064" s="247">
        <v>5388</v>
      </c>
      <c r="E1064" s="321" t="s">
        <v>803</v>
      </c>
      <c r="F1064" s="436">
        <f t="shared" si="59"/>
        <v>5388</v>
      </c>
      <c r="G1064" s="457">
        <f t="shared" si="56"/>
        <v>5576.58</v>
      </c>
    </row>
    <row r="1065" spans="1:7">
      <c r="A1065" s="313"/>
      <c r="B1065" s="365" t="s">
        <v>2079</v>
      </c>
      <c r="C1065" s="321" t="s">
        <v>1130</v>
      </c>
      <c r="D1065" s="247">
        <v>2994</v>
      </c>
      <c r="E1065" s="321" t="s">
        <v>803</v>
      </c>
      <c r="F1065" s="436">
        <f t="shared" si="59"/>
        <v>2994</v>
      </c>
      <c r="G1065" s="457">
        <f t="shared" si="56"/>
        <v>3098.79</v>
      </c>
    </row>
    <row r="1066" spans="1:7">
      <c r="A1066" s="313"/>
      <c r="B1066" s="365" t="s">
        <v>2080</v>
      </c>
      <c r="C1066" s="321" t="s">
        <v>1130</v>
      </c>
      <c r="D1066" s="247">
        <v>3904</v>
      </c>
      <c r="E1066" s="321" t="s">
        <v>803</v>
      </c>
      <c r="F1066" s="436">
        <f t="shared" si="59"/>
        <v>3904</v>
      </c>
      <c r="G1066" s="457">
        <f t="shared" si="56"/>
        <v>4040.64</v>
      </c>
    </row>
    <row r="1067" spans="1:7">
      <c r="A1067" s="313"/>
      <c r="B1067" s="365" t="s">
        <v>2081</v>
      </c>
      <c r="C1067" s="321" t="s">
        <v>1130</v>
      </c>
      <c r="D1067" s="247">
        <v>4812</v>
      </c>
      <c r="E1067" s="321" t="s">
        <v>803</v>
      </c>
      <c r="F1067" s="436">
        <f t="shared" si="59"/>
        <v>4812</v>
      </c>
      <c r="G1067" s="457">
        <f t="shared" si="56"/>
        <v>4980.42</v>
      </c>
    </row>
    <row r="1068" spans="1:7">
      <c r="A1068" s="313"/>
      <c r="B1068" s="365" t="s">
        <v>2082</v>
      </c>
      <c r="C1068" s="321" t="s">
        <v>1130</v>
      </c>
      <c r="D1068" s="247">
        <v>5722</v>
      </c>
      <c r="E1068" s="321" t="s">
        <v>803</v>
      </c>
      <c r="F1068" s="436">
        <f t="shared" si="59"/>
        <v>5722</v>
      </c>
      <c r="G1068" s="457">
        <f t="shared" si="56"/>
        <v>5922.27</v>
      </c>
    </row>
    <row r="1069" spans="1:7">
      <c r="A1069" s="313"/>
      <c r="B1069" s="314" t="s">
        <v>2083</v>
      </c>
      <c r="C1069" s="314"/>
      <c r="D1069" s="247"/>
      <c r="E1069" s="325"/>
      <c r="F1069" s="436"/>
      <c r="G1069" s="457">
        <f t="shared" si="56"/>
        <v>0</v>
      </c>
    </row>
    <row r="1070" spans="1:7">
      <c r="A1070" s="313"/>
      <c r="B1070" s="326" t="s">
        <v>2084</v>
      </c>
      <c r="C1070" s="321" t="s">
        <v>2110</v>
      </c>
      <c r="D1070" s="247">
        <v>1910</v>
      </c>
      <c r="E1070" s="321" t="s">
        <v>2110</v>
      </c>
      <c r="F1070" s="436">
        <f t="shared" ref="F1070:F1075" si="60">D1070</f>
        <v>1910</v>
      </c>
      <c r="G1070" s="457">
        <f t="shared" si="56"/>
        <v>1976.8500000000001</v>
      </c>
    </row>
    <row r="1071" spans="1:7">
      <c r="A1071" s="313"/>
      <c r="B1071" s="326" t="s">
        <v>210</v>
      </c>
      <c r="C1071" s="321" t="s">
        <v>1130</v>
      </c>
      <c r="D1071" s="247">
        <v>201</v>
      </c>
      <c r="E1071" s="321" t="s">
        <v>2110</v>
      </c>
      <c r="F1071" s="436">
        <f t="shared" si="60"/>
        <v>201</v>
      </c>
      <c r="G1071" s="457">
        <f t="shared" si="56"/>
        <v>208.03</v>
      </c>
    </row>
    <row r="1072" spans="1:7">
      <c r="A1072" s="313"/>
      <c r="B1072" s="333" t="s">
        <v>211</v>
      </c>
      <c r="C1072" s="321" t="s">
        <v>1130</v>
      </c>
      <c r="D1072" s="247">
        <v>226</v>
      </c>
      <c r="E1072" s="321" t="s">
        <v>2110</v>
      </c>
      <c r="F1072" s="436">
        <f t="shared" si="60"/>
        <v>226</v>
      </c>
      <c r="G1072" s="457">
        <f t="shared" si="56"/>
        <v>233.91</v>
      </c>
    </row>
    <row r="1073" spans="1:7">
      <c r="A1073" s="313"/>
      <c r="B1073" s="314" t="s">
        <v>212</v>
      </c>
      <c r="C1073" s="314"/>
      <c r="D1073" s="247"/>
      <c r="E1073" s="325"/>
      <c r="F1073" s="436">
        <f t="shared" si="60"/>
        <v>0</v>
      </c>
      <c r="G1073" s="457">
        <f t="shared" si="56"/>
        <v>0</v>
      </c>
    </row>
    <row r="1074" spans="1:7">
      <c r="A1074" s="313"/>
      <c r="B1074" s="326" t="s">
        <v>2084</v>
      </c>
      <c r="C1074" s="321" t="s">
        <v>2110</v>
      </c>
      <c r="D1074" s="247">
        <v>304</v>
      </c>
      <c r="E1074" s="321" t="s">
        <v>2110</v>
      </c>
      <c r="F1074" s="436">
        <f t="shared" si="60"/>
        <v>304</v>
      </c>
      <c r="G1074" s="457">
        <f t="shared" si="56"/>
        <v>314.64</v>
      </c>
    </row>
    <row r="1075" spans="1:7">
      <c r="A1075" s="313"/>
      <c r="B1075" s="326" t="s">
        <v>210</v>
      </c>
      <c r="C1075" s="321" t="s">
        <v>1130</v>
      </c>
      <c r="D1075" s="247">
        <v>273</v>
      </c>
      <c r="E1075" s="321" t="s">
        <v>2110</v>
      </c>
      <c r="F1075" s="436">
        <f t="shared" si="60"/>
        <v>273</v>
      </c>
      <c r="G1075" s="457">
        <f t="shared" si="56"/>
        <v>282.55</v>
      </c>
    </row>
    <row r="1076" spans="1:7">
      <c r="A1076" s="340"/>
      <c r="B1076" s="409" t="s">
        <v>3573</v>
      </c>
      <c r="C1076" s="409"/>
      <c r="D1076" s="247"/>
      <c r="E1076" s="410"/>
      <c r="F1076" s="436"/>
      <c r="G1076" s="457">
        <f t="shared" si="56"/>
        <v>0</v>
      </c>
    </row>
    <row r="1077" spans="1:7">
      <c r="A1077" s="340"/>
      <c r="B1077" s="407" t="s">
        <v>3574</v>
      </c>
      <c r="C1077" s="407"/>
      <c r="D1077" s="247"/>
      <c r="E1077" s="316"/>
      <c r="F1077" s="436"/>
      <c r="G1077" s="457">
        <f t="shared" si="56"/>
        <v>0</v>
      </c>
    </row>
    <row r="1078" spans="1:7">
      <c r="A1078" s="340"/>
      <c r="B1078" s="407" t="s">
        <v>3575</v>
      </c>
      <c r="C1078" s="407"/>
      <c r="D1078" s="247"/>
      <c r="E1078" s="316"/>
      <c r="F1078" s="436"/>
      <c r="G1078" s="457">
        <f t="shared" si="56"/>
        <v>0</v>
      </c>
    </row>
    <row r="1079" spans="1:7">
      <c r="A1079" s="340"/>
      <c r="B1079" s="407" t="s">
        <v>3576</v>
      </c>
      <c r="C1079" s="407"/>
      <c r="D1079" s="247"/>
      <c r="E1079" s="316"/>
      <c r="F1079" s="436"/>
      <c r="G1079" s="457">
        <f t="shared" si="56"/>
        <v>0</v>
      </c>
    </row>
    <row r="1080" spans="1:7">
      <c r="A1080" s="340"/>
      <c r="B1080" s="407" t="s">
        <v>3577</v>
      </c>
      <c r="C1080" s="407"/>
      <c r="D1080" s="247"/>
      <c r="E1080" s="316"/>
      <c r="F1080" s="436"/>
      <c r="G1080" s="457">
        <f t="shared" si="56"/>
        <v>0</v>
      </c>
    </row>
    <row r="1081" spans="1:7">
      <c r="A1081" s="340"/>
      <c r="B1081" s="407" t="s">
        <v>3578</v>
      </c>
      <c r="C1081" s="407"/>
      <c r="D1081" s="247"/>
      <c r="E1081" s="316"/>
      <c r="F1081" s="436"/>
      <c r="G1081" s="457">
        <f t="shared" si="56"/>
        <v>0</v>
      </c>
    </row>
    <row r="1082" spans="1:7">
      <c r="A1082" s="340"/>
      <c r="B1082" s="407" t="s">
        <v>3579</v>
      </c>
      <c r="C1082" s="407"/>
      <c r="D1082" s="247"/>
      <c r="E1082" s="316"/>
      <c r="F1082" s="436"/>
      <c r="G1082" s="457">
        <f t="shared" si="56"/>
        <v>0</v>
      </c>
    </row>
    <row r="1083" spans="1:7">
      <c r="A1083" s="340"/>
      <c r="B1083" s="407" t="s">
        <v>3580</v>
      </c>
      <c r="C1083" s="407"/>
      <c r="D1083" s="247"/>
      <c r="E1083" s="316"/>
      <c r="F1083" s="436"/>
      <c r="G1083" s="457">
        <f t="shared" si="56"/>
        <v>0</v>
      </c>
    </row>
    <row r="1084" spans="1:7">
      <c r="A1084" s="340">
        <v>62</v>
      </c>
      <c r="B1084" s="411" t="s">
        <v>3581</v>
      </c>
      <c r="C1084" s="396"/>
      <c r="D1084" s="247"/>
      <c r="E1084" s="368"/>
      <c r="F1084" s="436"/>
      <c r="G1084" s="457">
        <f t="shared" si="56"/>
        <v>0</v>
      </c>
    </row>
    <row r="1085" spans="1:7">
      <c r="A1085" s="340"/>
      <c r="B1085" s="412" t="s">
        <v>2726</v>
      </c>
      <c r="C1085" s="327"/>
      <c r="D1085" s="247"/>
      <c r="E1085" s="316"/>
      <c r="F1085" s="436"/>
      <c r="G1085" s="457">
        <f t="shared" si="56"/>
        <v>0</v>
      </c>
    </row>
    <row r="1086" spans="1:7">
      <c r="A1086" s="340"/>
      <c r="B1086" s="351" t="s">
        <v>3582</v>
      </c>
      <c r="C1086" s="5" t="s">
        <v>803</v>
      </c>
      <c r="D1086" s="247">
        <v>16500</v>
      </c>
      <c r="E1086" s="5" t="s">
        <v>803</v>
      </c>
      <c r="F1086" s="436">
        <f t="shared" ref="F1086:F1095" si="61">D1086</f>
        <v>16500</v>
      </c>
      <c r="G1086" s="457">
        <f t="shared" si="56"/>
        <v>17077.5</v>
      </c>
    </row>
    <row r="1087" spans="1:7">
      <c r="A1087" s="340"/>
      <c r="B1087" s="351" t="s">
        <v>3583</v>
      </c>
      <c r="C1087" s="5" t="s">
        <v>803</v>
      </c>
      <c r="D1087" s="247">
        <v>382000</v>
      </c>
      <c r="E1087" s="5" t="s">
        <v>803</v>
      </c>
      <c r="F1087" s="436">
        <f t="shared" si="61"/>
        <v>382000</v>
      </c>
      <c r="G1087" s="457">
        <f t="shared" si="56"/>
        <v>395370</v>
      </c>
    </row>
    <row r="1088" spans="1:7">
      <c r="A1088" s="340"/>
      <c r="B1088" s="351" t="s">
        <v>3584</v>
      </c>
      <c r="C1088" s="5" t="s">
        <v>803</v>
      </c>
      <c r="D1088" s="247">
        <v>276000</v>
      </c>
      <c r="E1088" s="5" t="s">
        <v>803</v>
      </c>
      <c r="F1088" s="436">
        <f t="shared" si="61"/>
        <v>276000</v>
      </c>
      <c r="G1088" s="457">
        <f t="shared" si="56"/>
        <v>285660</v>
      </c>
    </row>
    <row r="1089" spans="1:7">
      <c r="A1089" s="340"/>
      <c r="B1089" s="351" t="s">
        <v>3585</v>
      </c>
      <c r="C1089" s="5" t="s">
        <v>803</v>
      </c>
      <c r="D1089" s="247">
        <v>215000</v>
      </c>
      <c r="E1089" s="5" t="s">
        <v>803</v>
      </c>
      <c r="F1089" s="436">
        <f t="shared" si="61"/>
        <v>215000</v>
      </c>
      <c r="G1089" s="457">
        <f t="shared" si="56"/>
        <v>222525</v>
      </c>
    </row>
    <row r="1090" spans="1:7">
      <c r="A1090" s="340"/>
      <c r="B1090" s="351" t="s">
        <v>3586</v>
      </c>
      <c r="C1090" s="5" t="s">
        <v>803</v>
      </c>
      <c r="D1090" s="247">
        <v>28000</v>
      </c>
      <c r="E1090" s="5" t="s">
        <v>803</v>
      </c>
      <c r="F1090" s="436">
        <f t="shared" si="61"/>
        <v>28000</v>
      </c>
      <c r="G1090" s="457">
        <f t="shared" si="56"/>
        <v>28980</v>
      </c>
    </row>
    <row r="1091" spans="1:7">
      <c r="A1091" s="340"/>
      <c r="B1091" s="351" t="s">
        <v>3587</v>
      </c>
      <c r="C1091" s="5" t="s">
        <v>803</v>
      </c>
      <c r="D1091" s="247">
        <v>13500</v>
      </c>
      <c r="E1091" s="5" t="s">
        <v>803</v>
      </c>
      <c r="F1091" s="436">
        <f t="shared" si="61"/>
        <v>13500</v>
      </c>
      <c r="G1091" s="457">
        <f t="shared" si="56"/>
        <v>13972.5</v>
      </c>
    </row>
    <row r="1092" spans="1:7">
      <c r="A1092" s="340"/>
      <c r="B1092" s="412" t="s">
        <v>3588</v>
      </c>
      <c r="C1092" s="327"/>
      <c r="D1092" s="247"/>
      <c r="E1092" s="316"/>
      <c r="F1092" s="436">
        <f t="shared" si="61"/>
        <v>0</v>
      </c>
      <c r="G1092" s="457">
        <f t="shared" si="56"/>
        <v>0</v>
      </c>
    </row>
    <row r="1093" spans="1:7">
      <c r="A1093" s="413"/>
      <c r="B1093" s="379" t="s">
        <v>3589</v>
      </c>
      <c r="C1093" s="327" t="s">
        <v>3598</v>
      </c>
      <c r="D1093" s="247">
        <v>8430</v>
      </c>
      <c r="E1093" s="321" t="s">
        <v>2110</v>
      </c>
      <c r="F1093" s="436">
        <f t="shared" si="61"/>
        <v>8430</v>
      </c>
      <c r="G1093" s="457">
        <f t="shared" si="56"/>
        <v>8725.0499999999993</v>
      </c>
    </row>
    <row r="1094" spans="1:7">
      <c r="A1094" s="413"/>
      <c r="B1094" s="379" t="s">
        <v>3590</v>
      </c>
      <c r="C1094" s="327" t="s">
        <v>3598</v>
      </c>
      <c r="D1094" s="247">
        <v>9641</v>
      </c>
      <c r="E1094" s="321" t="s">
        <v>2110</v>
      </c>
      <c r="F1094" s="436">
        <f t="shared" si="61"/>
        <v>9641</v>
      </c>
      <c r="G1094" s="457">
        <f t="shared" si="56"/>
        <v>9978.43</v>
      </c>
    </row>
    <row r="1095" spans="1:7">
      <c r="A1095" s="413"/>
      <c r="B1095" s="379" t="s">
        <v>3591</v>
      </c>
      <c r="C1095" s="327" t="s">
        <v>3598</v>
      </c>
      <c r="D1095" s="247">
        <v>10116</v>
      </c>
      <c r="E1095" s="321" t="s">
        <v>2110</v>
      </c>
      <c r="F1095" s="436">
        <f t="shared" si="61"/>
        <v>10116</v>
      </c>
      <c r="G1095" s="457">
        <f t="shared" si="56"/>
        <v>10470.06</v>
      </c>
    </row>
    <row r="1096" spans="1:7">
      <c r="A1096" s="340"/>
      <c r="B1096" s="412" t="s">
        <v>3581</v>
      </c>
      <c r="C1096" s="414"/>
      <c r="D1096" s="247"/>
      <c r="E1096" s="368"/>
      <c r="F1096" s="436"/>
      <c r="G1096" s="457">
        <f t="shared" si="56"/>
        <v>0</v>
      </c>
    </row>
    <row r="1097" spans="1:7" ht="57">
      <c r="A1097" s="340"/>
      <c r="B1097" s="379" t="s">
        <v>2727</v>
      </c>
      <c r="C1097" s="5" t="s">
        <v>803</v>
      </c>
      <c r="D1097" s="247">
        <v>33333</v>
      </c>
      <c r="E1097" s="5" t="s">
        <v>803</v>
      </c>
      <c r="F1097" s="436">
        <f t="shared" ref="F1097:F1103" si="62">D1097</f>
        <v>33333</v>
      </c>
      <c r="G1097" s="457">
        <f t="shared" si="56"/>
        <v>34499.65</v>
      </c>
    </row>
    <row r="1098" spans="1:7" ht="57">
      <c r="A1098" s="340"/>
      <c r="B1098" s="379" t="s">
        <v>2728</v>
      </c>
      <c r="C1098" s="5" t="s">
        <v>803</v>
      </c>
      <c r="D1098" s="247">
        <v>89999</v>
      </c>
      <c r="E1098" s="5" t="s">
        <v>803</v>
      </c>
      <c r="F1098" s="436">
        <f t="shared" si="62"/>
        <v>89999</v>
      </c>
      <c r="G1098" s="457">
        <f t="shared" si="56"/>
        <v>93148.96</v>
      </c>
    </row>
    <row r="1099" spans="1:7" ht="27">
      <c r="A1099" s="340"/>
      <c r="B1099" s="379" t="s">
        <v>3592</v>
      </c>
      <c r="C1099" s="5" t="s">
        <v>803</v>
      </c>
      <c r="D1099" s="247">
        <v>20000</v>
      </c>
      <c r="E1099" s="5" t="s">
        <v>803</v>
      </c>
      <c r="F1099" s="436">
        <f t="shared" si="62"/>
        <v>20000</v>
      </c>
      <c r="G1099" s="457">
        <f t="shared" si="56"/>
        <v>20700</v>
      </c>
    </row>
    <row r="1100" spans="1:7" ht="27">
      <c r="A1100" s="340"/>
      <c r="B1100" s="379" t="s">
        <v>1752</v>
      </c>
      <c r="C1100" s="5" t="s">
        <v>803</v>
      </c>
      <c r="D1100" s="247">
        <v>12500</v>
      </c>
      <c r="E1100" s="5" t="s">
        <v>803</v>
      </c>
      <c r="F1100" s="436">
        <f t="shared" si="62"/>
        <v>12500</v>
      </c>
      <c r="G1100" s="457">
        <f t="shared" si="56"/>
        <v>12937.5</v>
      </c>
    </row>
    <row r="1101" spans="1:7">
      <c r="A1101" s="340"/>
      <c r="B1101" s="379" t="s">
        <v>1753</v>
      </c>
      <c r="C1101" s="5" t="s">
        <v>803</v>
      </c>
      <c r="D1101" s="247">
        <v>35000</v>
      </c>
      <c r="E1101" s="5" t="s">
        <v>803</v>
      </c>
      <c r="F1101" s="436">
        <f t="shared" si="62"/>
        <v>35000</v>
      </c>
      <c r="G1101" s="457">
        <f t="shared" ref="G1101:G1164" si="63">FLOOR(F1101*1.035,0.01)</f>
        <v>36225</v>
      </c>
    </row>
    <row r="1102" spans="1:7">
      <c r="A1102" s="340"/>
      <c r="B1102" s="379" t="s">
        <v>3549</v>
      </c>
      <c r="C1102" s="5" t="s">
        <v>803</v>
      </c>
      <c r="D1102" s="247">
        <v>35000</v>
      </c>
      <c r="E1102" s="5" t="s">
        <v>803</v>
      </c>
      <c r="F1102" s="436">
        <f t="shared" si="62"/>
        <v>35000</v>
      </c>
      <c r="G1102" s="457">
        <f t="shared" si="63"/>
        <v>36225</v>
      </c>
    </row>
    <row r="1103" spans="1:7" ht="27">
      <c r="A1103" s="340"/>
      <c r="B1103" s="379" t="s">
        <v>3550</v>
      </c>
      <c r="C1103" s="5" t="s">
        <v>803</v>
      </c>
      <c r="D1103" s="247">
        <v>24999</v>
      </c>
      <c r="E1103" s="5" t="s">
        <v>803</v>
      </c>
      <c r="F1103" s="436">
        <f t="shared" si="62"/>
        <v>24999</v>
      </c>
      <c r="G1103" s="457">
        <f t="shared" si="63"/>
        <v>25873.96</v>
      </c>
    </row>
    <row r="1104" spans="1:7" ht="45">
      <c r="A1104" s="340"/>
      <c r="B1104" s="379" t="s">
        <v>2729</v>
      </c>
      <c r="C1104" s="5"/>
      <c r="D1104" s="247"/>
      <c r="E1104" s="5"/>
      <c r="F1104" s="436"/>
      <c r="G1104" s="457">
        <f t="shared" si="63"/>
        <v>0</v>
      </c>
    </row>
    <row r="1105" spans="1:7">
      <c r="A1105" s="340"/>
      <c r="B1105" s="386" t="s">
        <v>3551</v>
      </c>
      <c r="C1105" s="5" t="s">
        <v>803</v>
      </c>
      <c r="D1105" s="247">
        <v>4000</v>
      </c>
      <c r="E1105" s="5" t="s">
        <v>803</v>
      </c>
      <c r="F1105" s="436">
        <f>D1105</f>
        <v>4000</v>
      </c>
      <c r="G1105" s="457">
        <f t="shared" si="63"/>
        <v>4140</v>
      </c>
    </row>
    <row r="1106" spans="1:7">
      <c r="A1106" s="340"/>
      <c r="B1106" s="386" t="s">
        <v>3552</v>
      </c>
      <c r="C1106" s="5" t="s">
        <v>803</v>
      </c>
      <c r="D1106" s="247">
        <v>5500</v>
      </c>
      <c r="E1106" s="5" t="s">
        <v>803</v>
      </c>
      <c r="F1106" s="436">
        <f>D1106</f>
        <v>5500</v>
      </c>
      <c r="G1106" s="457">
        <f t="shared" si="63"/>
        <v>5692.5</v>
      </c>
    </row>
    <row r="1107" spans="1:7">
      <c r="A1107" s="340"/>
      <c r="B1107" s="386" t="s">
        <v>3553</v>
      </c>
      <c r="C1107" s="5" t="s">
        <v>803</v>
      </c>
      <c r="D1107" s="247">
        <v>9000</v>
      </c>
      <c r="E1107" s="5" t="s">
        <v>803</v>
      </c>
      <c r="F1107" s="436">
        <f>D1107</f>
        <v>9000</v>
      </c>
      <c r="G1107" s="457">
        <f t="shared" si="63"/>
        <v>9315</v>
      </c>
    </row>
    <row r="1108" spans="1:7">
      <c r="A1108" s="340">
        <v>63</v>
      </c>
      <c r="B1108" s="340" t="s">
        <v>3608</v>
      </c>
      <c r="C1108" s="415"/>
      <c r="D1108" s="247"/>
      <c r="E1108" s="316"/>
      <c r="F1108" s="436"/>
      <c r="G1108" s="457">
        <f t="shared" si="63"/>
        <v>0</v>
      </c>
    </row>
    <row r="1109" spans="1:7">
      <c r="A1109" s="396"/>
      <c r="B1109" s="349" t="s">
        <v>3609</v>
      </c>
      <c r="C1109" s="327" t="s">
        <v>3610</v>
      </c>
      <c r="D1109" s="247">
        <v>400</v>
      </c>
      <c r="E1109" s="5" t="s">
        <v>2798</v>
      </c>
      <c r="F1109" s="436">
        <f t="shared" ref="F1109:F1140" si="64">D1109</f>
        <v>400</v>
      </c>
      <c r="G1109" s="457">
        <f t="shared" si="63"/>
        <v>414</v>
      </c>
    </row>
    <row r="1110" spans="1:7">
      <c r="A1110" s="396"/>
      <c r="B1110" s="349" t="s">
        <v>3611</v>
      </c>
      <c r="C1110" s="327" t="s">
        <v>1130</v>
      </c>
      <c r="D1110" s="247"/>
      <c r="E1110" s="5" t="s">
        <v>2798</v>
      </c>
      <c r="F1110" s="436">
        <f t="shared" si="64"/>
        <v>0</v>
      </c>
      <c r="G1110" s="457">
        <f t="shared" si="63"/>
        <v>0</v>
      </c>
    </row>
    <row r="1111" spans="1:7">
      <c r="A1111" s="396"/>
      <c r="B1111" s="349" t="s">
        <v>3612</v>
      </c>
      <c r="C1111" s="327" t="s">
        <v>1130</v>
      </c>
      <c r="D1111" s="247">
        <v>1400</v>
      </c>
      <c r="E1111" s="5" t="s">
        <v>2798</v>
      </c>
      <c r="F1111" s="436">
        <f t="shared" si="64"/>
        <v>1400</v>
      </c>
      <c r="G1111" s="457">
        <f t="shared" si="63"/>
        <v>1449</v>
      </c>
    </row>
    <row r="1112" spans="1:7">
      <c r="A1112" s="396"/>
      <c r="B1112" s="349" t="s">
        <v>3613</v>
      </c>
      <c r="C1112" s="327" t="s">
        <v>1130</v>
      </c>
      <c r="D1112" s="247">
        <v>1000</v>
      </c>
      <c r="E1112" s="5" t="s">
        <v>2798</v>
      </c>
      <c r="F1112" s="436">
        <f t="shared" si="64"/>
        <v>1000</v>
      </c>
      <c r="G1112" s="457">
        <f t="shared" si="63"/>
        <v>1035</v>
      </c>
    </row>
    <row r="1113" spans="1:7">
      <c r="A1113" s="396"/>
      <c r="B1113" s="349" t="s">
        <v>3614</v>
      </c>
      <c r="C1113" s="327" t="s">
        <v>1130</v>
      </c>
      <c r="D1113" s="247">
        <v>260</v>
      </c>
      <c r="E1113" s="5" t="s">
        <v>2798</v>
      </c>
      <c r="F1113" s="436">
        <f t="shared" si="64"/>
        <v>260</v>
      </c>
      <c r="G1113" s="457">
        <f t="shared" si="63"/>
        <v>269.10000000000002</v>
      </c>
    </row>
    <row r="1114" spans="1:7">
      <c r="A1114" s="396"/>
      <c r="B1114" s="349" t="s">
        <v>3615</v>
      </c>
      <c r="C1114" s="327" t="s">
        <v>1130</v>
      </c>
      <c r="D1114" s="247">
        <v>1200</v>
      </c>
      <c r="E1114" s="5" t="s">
        <v>2798</v>
      </c>
      <c r="F1114" s="436">
        <f t="shared" si="64"/>
        <v>1200</v>
      </c>
      <c r="G1114" s="457">
        <f t="shared" si="63"/>
        <v>1242</v>
      </c>
    </row>
    <row r="1115" spans="1:7">
      <c r="A1115" s="396"/>
      <c r="B1115" s="349" t="s">
        <v>2522</v>
      </c>
      <c r="C1115" s="327" t="s">
        <v>1130</v>
      </c>
      <c r="D1115" s="247">
        <v>250</v>
      </c>
      <c r="E1115" s="5" t="s">
        <v>2798</v>
      </c>
      <c r="F1115" s="436">
        <f t="shared" si="64"/>
        <v>250</v>
      </c>
      <c r="G1115" s="457">
        <f t="shared" si="63"/>
        <v>258.75</v>
      </c>
    </row>
    <row r="1116" spans="1:7">
      <c r="A1116" s="396"/>
      <c r="B1116" s="349" t="s">
        <v>2523</v>
      </c>
      <c r="C1116" s="327" t="s">
        <v>1130</v>
      </c>
      <c r="D1116" s="247">
        <v>3100</v>
      </c>
      <c r="E1116" s="5" t="s">
        <v>2798</v>
      </c>
      <c r="F1116" s="436">
        <f t="shared" si="64"/>
        <v>3100</v>
      </c>
      <c r="G1116" s="457">
        <f t="shared" si="63"/>
        <v>3208.5</v>
      </c>
    </row>
    <row r="1117" spans="1:7">
      <c r="A1117" s="396"/>
      <c r="B1117" s="349" t="s">
        <v>2524</v>
      </c>
      <c r="C1117" s="327" t="s">
        <v>1130</v>
      </c>
      <c r="D1117" s="247">
        <v>3500</v>
      </c>
      <c r="E1117" s="5" t="s">
        <v>2798</v>
      </c>
      <c r="F1117" s="436">
        <f t="shared" si="64"/>
        <v>3500</v>
      </c>
      <c r="G1117" s="457">
        <f t="shared" si="63"/>
        <v>3622.5</v>
      </c>
    </row>
    <row r="1118" spans="1:7">
      <c r="A1118" s="396"/>
      <c r="B1118" s="349" t="s">
        <v>2525</v>
      </c>
      <c r="C1118" s="327" t="s">
        <v>1130</v>
      </c>
      <c r="D1118" s="247"/>
      <c r="E1118" s="5" t="s">
        <v>2798</v>
      </c>
      <c r="F1118" s="436">
        <f t="shared" si="64"/>
        <v>0</v>
      </c>
      <c r="G1118" s="457">
        <f t="shared" si="63"/>
        <v>0</v>
      </c>
    </row>
    <row r="1119" spans="1:7">
      <c r="A1119" s="396"/>
      <c r="B1119" s="349" t="s">
        <v>2526</v>
      </c>
      <c r="C1119" s="327" t="s">
        <v>1130</v>
      </c>
      <c r="D1119" s="247">
        <v>250</v>
      </c>
      <c r="E1119" s="5" t="s">
        <v>2798</v>
      </c>
      <c r="F1119" s="436">
        <f t="shared" si="64"/>
        <v>250</v>
      </c>
      <c r="G1119" s="457">
        <f t="shared" si="63"/>
        <v>258.75</v>
      </c>
    </row>
    <row r="1120" spans="1:7">
      <c r="A1120" s="396"/>
      <c r="B1120" s="349" t="s">
        <v>2527</v>
      </c>
      <c r="C1120" s="327" t="s">
        <v>1130</v>
      </c>
      <c r="D1120" s="247"/>
      <c r="E1120" s="5" t="s">
        <v>2798</v>
      </c>
      <c r="F1120" s="436">
        <f t="shared" si="64"/>
        <v>0</v>
      </c>
      <c r="G1120" s="457">
        <f t="shared" si="63"/>
        <v>0</v>
      </c>
    </row>
    <row r="1121" spans="1:7">
      <c r="A1121" s="396"/>
      <c r="B1121" s="349" t="s">
        <v>2528</v>
      </c>
      <c r="C1121" s="327" t="s">
        <v>1130</v>
      </c>
      <c r="D1121" s="247"/>
      <c r="E1121" s="5" t="s">
        <v>2798</v>
      </c>
      <c r="F1121" s="436">
        <f t="shared" si="64"/>
        <v>0</v>
      </c>
      <c r="G1121" s="457">
        <f t="shared" si="63"/>
        <v>0</v>
      </c>
    </row>
    <row r="1122" spans="1:7">
      <c r="A1122" s="396"/>
      <c r="B1122" s="349" t="s">
        <v>3539</v>
      </c>
      <c r="C1122" s="327" t="s">
        <v>1130</v>
      </c>
      <c r="D1122" s="247"/>
      <c r="E1122" s="5" t="s">
        <v>2798</v>
      </c>
      <c r="F1122" s="436">
        <f t="shared" si="64"/>
        <v>0</v>
      </c>
      <c r="G1122" s="457">
        <f t="shared" si="63"/>
        <v>0</v>
      </c>
    </row>
    <row r="1123" spans="1:7">
      <c r="A1123" s="396"/>
      <c r="B1123" s="349" t="s">
        <v>3540</v>
      </c>
      <c r="C1123" s="327" t="s">
        <v>1130</v>
      </c>
      <c r="D1123" s="247">
        <v>1300</v>
      </c>
      <c r="E1123" s="5" t="s">
        <v>2798</v>
      </c>
      <c r="F1123" s="436">
        <f t="shared" si="64"/>
        <v>1300</v>
      </c>
      <c r="G1123" s="457">
        <f t="shared" si="63"/>
        <v>1345.5</v>
      </c>
    </row>
    <row r="1124" spans="1:7">
      <c r="A1124" s="396"/>
      <c r="B1124" s="349" t="s">
        <v>3541</v>
      </c>
      <c r="C1124" s="327" t="s">
        <v>1130</v>
      </c>
      <c r="D1124" s="247"/>
      <c r="E1124" s="5" t="s">
        <v>2798</v>
      </c>
      <c r="F1124" s="436">
        <f t="shared" si="64"/>
        <v>0</v>
      </c>
      <c r="G1124" s="457">
        <f t="shared" si="63"/>
        <v>0</v>
      </c>
    </row>
    <row r="1125" spans="1:7">
      <c r="A1125" s="396"/>
      <c r="B1125" s="349" t="s">
        <v>3542</v>
      </c>
      <c r="C1125" s="327" t="s">
        <v>1130</v>
      </c>
      <c r="D1125" s="247">
        <v>130</v>
      </c>
      <c r="E1125" s="5" t="s">
        <v>2798</v>
      </c>
      <c r="F1125" s="436">
        <f t="shared" si="64"/>
        <v>130</v>
      </c>
      <c r="G1125" s="457">
        <f t="shared" si="63"/>
        <v>134.55000000000001</v>
      </c>
    </row>
    <row r="1126" spans="1:7">
      <c r="A1126" s="396"/>
      <c r="B1126" s="349" t="s">
        <v>3543</v>
      </c>
      <c r="C1126" s="327" t="s">
        <v>1130</v>
      </c>
      <c r="D1126" s="247">
        <v>550</v>
      </c>
      <c r="E1126" s="5" t="s">
        <v>2798</v>
      </c>
      <c r="F1126" s="436">
        <f t="shared" si="64"/>
        <v>550</v>
      </c>
      <c r="G1126" s="457">
        <f t="shared" si="63"/>
        <v>569.25</v>
      </c>
    </row>
    <row r="1127" spans="1:7">
      <c r="A1127" s="396"/>
      <c r="B1127" s="349" t="s">
        <v>1057</v>
      </c>
      <c r="C1127" s="327" t="s">
        <v>1130</v>
      </c>
      <c r="D1127" s="247"/>
      <c r="E1127" s="5" t="s">
        <v>2798</v>
      </c>
      <c r="F1127" s="436">
        <f t="shared" si="64"/>
        <v>0</v>
      </c>
      <c r="G1127" s="457">
        <f t="shared" si="63"/>
        <v>0</v>
      </c>
    </row>
    <row r="1128" spans="1:7">
      <c r="A1128" s="396"/>
      <c r="B1128" s="349" t="s">
        <v>1058</v>
      </c>
      <c r="C1128" s="327" t="s">
        <v>1130</v>
      </c>
      <c r="D1128" s="247"/>
      <c r="E1128" s="5" t="s">
        <v>2798</v>
      </c>
      <c r="F1128" s="436">
        <f t="shared" si="64"/>
        <v>0</v>
      </c>
      <c r="G1128" s="457">
        <f t="shared" si="63"/>
        <v>0</v>
      </c>
    </row>
    <row r="1129" spans="1:7">
      <c r="A1129" s="396"/>
      <c r="B1129" s="349" t="s">
        <v>1059</v>
      </c>
      <c r="C1129" s="327" t="s">
        <v>1130</v>
      </c>
      <c r="D1129" s="247">
        <v>1200</v>
      </c>
      <c r="E1129" s="5" t="s">
        <v>2798</v>
      </c>
      <c r="F1129" s="436">
        <f t="shared" si="64"/>
        <v>1200</v>
      </c>
      <c r="G1129" s="457">
        <f t="shared" si="63"/>
        <v>1242</v>
      </c>
    </row>
    <row r="1130" spans="1:7">
      <c r="A1130" s="396"/>
      <c r="B1130" s="349" t="s">
        <v>1060</v>
      </c>
      <c r="C1130" s="327" t="s">
        <v>1130</v>
      </c>
      <c r="D1130" s="247">
        <v>400</v>
      </c>
      <c r="E1130" s="5" t="s">
        <v>2798</v>
      </c>
      <c r="F1130" s="436">
        <f t="shared" si="64"/>
        <v>400</v>
      </c>
      <c r="G1130" s="457">
        <f t="shared" si="63"/>
        <v>414</v>
      </c>
    </row>
    <row r="1131" spans="1:7">
      <c r="A1131" s="396"/>
      <c r="B1131" s="349" t="s">
        <v>2464</v>
      </c>
      <c r="C1131" s="327" t="s">
        <v>1130</v>
      </c>
      <c r="D1131" s="247">
        <v>150</v>
      </c>
      <c r="E1131" s="5" t="s">
        <v>2798</v>
      </c>
      <c r="F1131" s="436">
        <f t="shared" si="64"/>
        <v>150</v>
      </c>
      <c r="G1131" s="457">
        <f t="shared" si="63"/>
        <v>155.25</v>
      </c>
    </row>
    <row r="1132" spans="1:7">
      <c r="A1132" s="396"/>
      <c r="B1132" s="349" t="s">
        <v>1061</v>
      </c>
      <c r="C1132" s="327" t="s">
        <v>1130</v>
      </c>
      <c r="D1132" s="247">
        <v>150</v>
      </c>
      <c r="E1132" s="5" t="s">
        <v>2798</v>
      </c>
      <c r="F1132" s="436">
        <f t="shared" si="64"/>
        <v>150</v>
      </c>
      <c r="G1132" s="457">
        <f t="shared" si="63"/>
        <v>155.25</v>
      </c>
    </row>
    <row r="1133" spans="1:7">
      <c r="A1133" s="396"/>
      <c r="B1133" s="349" t="s">
        <v>1062</v>
      </c>
      <c r="C1133" s="327" t="s">
        <v>1130</v>
      </c>
      <c r="D1133" s="247"/>
      <c r="E1133" s="5" t="s">
        <v>2798</v>
      </c>
      <c r="F1133" s="436">
        <f t="shared" si="64"/>
        <v>0</v>
      </c>
      <c r="G1133" s="457">
        <f t="shared" si="63"/>
        <v>0</v>
      </c>
    </row>
    <row r="1134" spans="1:7">
      <c r="A1134" s="396"/>
      <c r="B1134" s="349" t="s">
        <v>1063</v>
      </c>
      <c r="C1134" s="327" t="s">
        <v>1130</v>
      </c>
      <c r="D1134" s="247"/>
      <c r="E1134" s="5" t="s">
        <v>2798</v>
      </c>
      <c r="F1134" s="436">
        <f t="shared" si="64"/>
        <v>0</v>
      </c>
      <c r="G1134" s="457">
        <f t="shared" si="63"/>
        <v>0</v>
      </c>
    </row>
    <row r="1135" spans="1:7">
      <c r="A1135" s="396"/>
      <c r="B1135" s="349" t="s">
        <v>1064</v>
      </c>
      <c r="C1135" s="327" t="s">
        <v>1130</v>
      </c>
      <c r="D1135" s="247">
        <v>1600</v>
      </c>
      <c r="E1135" s="5" t="s">
        <v>2798</v>
      </c>
      <c r="F1135" s="436">
        <f t="shared" si="64"/>
        <v>1600</v>
      </c>
      <c r="G1135" s="457">
        <f t="shared" si="63"/>
        <v>1656</v>
      </c>
    </row>
    <row r="1136" spans="1:7">
      <c r="A1136" s="396"/>
      <c r="B1136" s="349" t="s">
        <v>1065</v>
      </c>
      <c r="C1136" s="327" t="s">
        <v>1130</v>
      </c>
      <c r="D1136" s="247"/>
      <c r="E1136" s="5" t="s">
        <v>2798</v>
      </c>
      <c r="F1136" s="436">
        <f t="shared" si="64"/>
        <v>0</v>
      </c>
      <c r="G1136" s="457">
        <f t="shared" si="63"/>
        <v>0</v>
      </c>
    </row>
    <row r="1137" spans="1:7">
      <c r="A1137" s="396"/>
      <c r="B1137" s="349" t="s">
        <v>1066</v>
      </c>
      <c r="C1137" s="327" t="s">
        <v>1130</v>
      </c>
      <c r="D1137" s="247">
        <v>300</v>
      </c>
      <c r="E1137" s="5" t="s">
        <v>2798</v>
      </c>
      <c r="F1137" s="436">
        <f t="shared" si="64"/>
        <v>300</v>
      </c>
      <c r="G1137" s="457">
        <f t="shared" si="63"/>
        <v>310.5</v>
      </c>
    </row>
    <row r="1138" spans="1:7">
      <c r="A1138" s="396"/>
      <c r="B1138" s="349" t="s">
        <v>1067</v>
      </c>
      <c r="C1138" s="327" t="s">
        <v>1130</v>
      </c>
      <c r="D1138" s="247">
        <v>1260</v>
      </c>
      <c r="E1138" s="5" t="s">
        <v>2798</v>
      </c>
      <c r="F1138" s="436">
        <f t="shared" si="64"/>
        <v>1260</v>
      </c>
      <c r="G1138" s="457">
        <f t="shared" si="63"/>
        <v>1304.1000000000001</v>
      </c>
    </row>
    <row r="1139" spans="1:7">
      <c r="A1139" s="396"/>
      <c r="B1139" s="349" t="s">
        <v>2478</v>
      </c>
      <c r="C1139" s="327" t="s">
        <v>1130</v>
      </c>
      <c r="D1139" s="247">
        <v>1000</v>
      </c>
      <c r="E1139" s="5" t="s">
        <v>2798</v>
      </c>
      <c r="F1139" s="436">
        <f t="shared" si="64"/>
        <v>1000</v>
      </c>
      <c r="G1139" s="457">
        <f t="shared" si="63"/>
        <v>1035</v>
      </c>
    </row>
    <row r="1140" spans="1:7">
      <c r="A1140" s="396"/>
      <c r="B1140" s="349" t="s">
        <v>2479</v>
      </c>
      <c r="C1140" s="327" t="s">
        <v>1130</v>
      </c>
      <c r="D1140" s="247">
        <v>1500</v>
      </c>
      <c r="E1140" s="5" t="s">
        <v>2798</v>
      </c>
      <c r="F1140" s="436">
        <f t="shared" si="64"/>
        <v>1500</v>
      </c>
      <c r="G1140" s="457">
        <f t="shared" si="63"/>
        <v>1552.5</v>
      </c>
    </row>
    <row r="1141" spans="1:7">
      <c r="A1141" s="396"/>
      <c r="B1141" s="349" t="s">
        <v>2480</v>
      </c>
      <c r="C1141" s="327" t="s">
        <v>1130</v>
      </c>
      <c r="D1141" s="247"/>
      <c r="E1141" s="5" t="s">
        <v>2798</v>
      </c>
      <c r="F1141" s="436">
        <f t="shared" ref="F1141:F1168" si="65">D1141</f>
        <v>0</v>
      </c>
      <c r="G1141" s="457">
        <f t="shared" si="63"/>
        <v>0</v>
      </c>
    </row>
    <row r="1142" spans="1:7">
      <c r="A1142" s="396"/>
      <c r="B1142" s="349" t="s">
        <v>2481</v>
      </c>
      <c r="C1142" s="327" t="s">
        <v>1130</v>
      </c>
      <c r="D1142" s="247"/>
      <c r="E1142" s="5" t="s">
        <v>2798</v>
      </c>
      <c r="F1142" s="436">
        <f t="shared" si="65"/>
        <v>0</v>
      </c>
      <c r="G1142" s="457">
        <f t="shared" si="63"/>
        <v>0</v>
      </c>
    </row>
    <row r="1143" spans="1:7">
      <c r="A1143" s="396"/>
      <c r="B1143" s="349" t="s">
        <v>2482</v>
      </c>
      <c r="C1143" s="327" t="s">
        <v>1130</v>
      </c>
      <c r="D1143" s="247"/>
      <c r="E1143" s="5" t="s">
        <v>2798</v>
      </c>
      <c r="F1143" s="436">
        <f t="shared" si="65"/>
        <v>0</v>
      </c>
      <c r="G1143" s="457">
        <f t="shared" si="63"/>
        <v>0</v>
      </c>
    </row>
    <row r="1144" spans="1:7">
      <c r="A1144" s="396"/>
      <c r="B1144" s="349" t="s">
        <v>2465</v>
      </c>
      <c r="C1144" s="327" t="s">
        <v>1130</v>
      </c>
      <c r="D1144" s="247">
        <v>150</v>
      </c>
      <c r="E1144" s="5" t="s">
        <v>2798</v>
      </c>
      <c r="F1144" s="436">
        <f t="shared" si="65"/>
        <v>150</v>
      </c>
      <c r="G1144" s="457">
        <f t="shared" si="63"/>
        <v>155.25</v>
      </c>
    </row>
    <row r="1145" spans="1:7">
      <c r="A1145" s="396"/>
      <c r="B1145" s="349" t="s">
        <v>2483</v>
      </c>
      <c r="C1145" s="327" t="s">
        <v>1130</v>
      </c>
      <c r="D1145" s="247">
        <v>3000</v>
      </c>
      <c r="E1145" s="5" t="s">
        <v>2798</v>
      </c>
      <c r="F1145" s="436">
        <f t="shared" si="65"/>
        <v>3000</v>
      </c>
      <c r="G1145" s="457">
        <f t="shared" si="63"/>
        <v>3105</v>
      </c>
    </row>
    <row r="1146" spans="1:7">
      <c r="A1146" s="396"/>
      <c r="B1146" s="349" t="s">
        <v>2484</v>
      </c>
      <c r="C1146" s="327" t="s">
        <v>1130</v>
      </c>
      <c r="D1146" s="247">
        <v>500</v>
      </c>
      <c r="E1146" s="5" t="s">
        <v>2798</v>
      </c>
      <c r="F1146" s="436">
        <f t="shared" si="65"/>
        <v>500</v>
      </c>
      <c r="G1146" s="457">
        <f t="shared" si="63"/>
        <v>517.5</v>
      </c>
    </row>
    <row r="1147" spans="1:7">
      <c r="A1147" s="396"/>
      <c r="B1147" s="349" t="s">
        <v>2485</v>
      </c>
      <c r="C1147" s="327" t="s">
        <v>1130</v>
      </c>
      <c r="D1147" s="247">
        <v>1200</v>
      </c>
      <c r="E1147" s="5" t="s">
        <v>2798</v>
      </c>
      <c r="F1147" s="436">
        <f t="shared" si="65"/>
        <v>1200</v>
      </c>
      <c r="G1147" s="457">
        <f t="shared" si="63"/>
        <v>1242</v>
      </c>
    </row>
    <row r="1148" spans="1:7">
      <c r="A1148" s="396"/>
      <c r="B1148" s="349" t="s">
        <v>2134</v>
      </c>
      <c r="C1148" s="327" t="s">
        <v>1130</v>
      </c>
      <c r="D1148" s="247">
        <v>400</v>
      </c>
      <c r="E1148" s="5" t="s">
        <v>2798</v>
      </c>
      <c r="F1148" s="436">
        <f t="shared" si="65"/>
        <v>400</v>
      </c>
      <c r="G1148" s="457">
        <f t="shared" si="63"/>
        <v>414</v>
      </c>
    </row>
    <row r="1149" spans="1:7">
      <c r="A1149" s="396"/>
      <c r="B1149" s="349" t="s">
        <v>2135</v>
      </c>
      <c r="C1149" s="327" t="s">
        <v>1130</v>
      </c>
      <c r="D1149" s="247">
        <v>700</v>
      </c>
      <c r="E1149" s="5" t="s">
        <v>2798</v>
      </c>
      <c r="F1149" s="436">
        <f t="shared" si="65"/>
        <v>700</v>
      </c>
      <c r="G1149" s="457">
        <f t="shared" si="63"/>
        <v>724.5</v>
      </c>
    </row>
    <row r="1150" spans="1:7">
      <c r="A1150" s="396"/>
      <c r="B1150" s="349" t="s">
        <v>2136</v>
      </c>
      <c r="C1150" s="327" t="s">
        <v>1130</v>
      </c>
      <c r="D1150" s="247">
        <v>550</v>
      </c>
      <c r="E1150" s="5" t="s">
        <v>2798</v>
      </c>
      <c r="F1150" s="436">
        <f t="shared" si="65"/>
        <v>550</v>
      </c>
      <c r="G1150" s="457">
        <f t="shared" si="63"/>
        <v>569.25</v>
      </c>
    </row>
    <row r="1151" spans="1:7">
      <c r="A1151" s="396"/>
      <c r="B1151" s="349" t="s">
        <v>2137</v>
      </c>
      <c r="C1151" s="327" t="s">
        <v>1130</v>
      </c>
      <c r="D1151" s="247">
        <v>800</v>
      </c>
      <c r="E1151" s="5" t="s">
        <v>2798</v>
      </c>
      <c r="F1151" s="436">
        <f t="shared" si="65"/>
        <v>800</v>
      </c>
      <c r="G1151" s="457">
        <f t="shared" si="63"/>
        <v>828</v>
      </c>
    </row>
    <row r="1152" spans="1:7">
      <c r="A1152" s="396"/>
      <c r="B1152" s="349" t="s">
        <v>2138</v>
      </c>
      <c r="C1152" s="327" t="s">
        <v>1130</v>
      </c>
      <c r="D1152" s="247"/>
      <c r="E1152" s="5" t="s">
        <v>2798</v>
      </c>
      <c r="F1152" s="436">
        <f t="shared" si="65"/>
        <v>0</v>
      </c>
      <c r="G1152" s="457">
        <f t="shared" si="63"/>
        <v>0</v>
      </c>
    </row>
    <row r="1153" spans="1:7">
      <c r="A1153" s="396"/>
      <c r="B1153" s="349" t="s">
        <v>2139</v>
      </c>
      <c r="C1153" s="327" t="s">
        <v>1130</v>
      </c>
      <c r="D1153" s="247">
        <v>1500</v>
      </c>
      <c r="E1153" s="5" t="s">
        <v>2798</v>
      </c>
      <c r="F1153" s="436">
        <f t="shared" si="65"/>
        <v>1500</v>
      </c>
      <c r="G1153" s="457">
        <f t="shared" si="63"/>
        <v>1552.5</v>
      </c>
    </row>
    <row r="1154" spans="1:7">
      <c r="A1154" s="396"/>
      <c r="B1154" s="349" t="s">
        <v>2140</v>
      </c>
      <c r="C1154" s="327" t="s">
        <v>1130</v>
      </c>
      <c r="D1154" s="247">
        <v>260</v>
      </c>
      <c r="E1154" s="5" t="s">
        <v>2798</v>
      </c>
      <c r="F1154" s="436">
        <f t="shared" si="65"/>
        <v>260</v>
      </c>
      <c r="G1154" s="457">
        <f t="shared" si="63"/>
        <v>269.10000000000002</v>
      </c>
    </row>
    <row r="1155" spans="1:7">
      <c r="A1155" s="396"/>
      <c r="B1155" s="349" t="s">
        <v>2141</v>
      </c>
      <c r="C1155" s="327" t="s">
        <v>1130</v>
      </c>
      <c r="D1155" s="247">
        <v>800</v>
      </c>
      <c r="E1155" s="5" t="s">
        <v>2798</v>
      </c>
      <c r="F1155" s="436">
        <f t="shared" si="65"/>
        <v>800</v>
      </c>
      <c r="G1155" s="457">
        <f t="shared" si="63"/>
        <v>828</v>
      </c>
    </row>
    <row r="1156" spans="1:7">
      <c r="A1156" s="396"/>
      <c r="B1156" s="349" t="s">
        <v>2142</v>
      </c>
      <c r="C1156" s="327" t="s">
        <v>1130</v>
      </c>
      <c r="D1156" s="247">
        <v>450</v>
      </c>
      <c r="E1156" s="5" t="s">
        <v>2798</v>
      </c>
      <c r="F1156" s="436">
        <f t="shared" si="65"/>
        <v>450</v>
      </c>
      <c r="G1156" s="457">
        <f t="shared" si="63"/>
        <v>465.75</v>
      </c>
    </row>
    <row r="1157" spans="1:7">
      <c r="A1157" s="396"/>
      <c r="B1157" s="349" t="s">
        <v>2143</v>
      </c>
      <c r="C1157" s="327" t="s">
        <v>1130</v>
      </c>
      <c r="D1157" s="247">
        <v>450</v>
      </c>
      <c r="E1157" s="5" t="s">
        <v>2798</v>
      </c>
      <c r="F1157" s="436">
        <f t="shared" si="65"/>
        <v>450</v>
      </c>
      <c r="G1157" s="457">
        <f t="shared" si="63"/>
        <v>465.75</v>
      </c>
    </row>
    <row r="1158" spans="1:7">
      <c r="A1158" s="396"/>
      <c r="B1158" s="349" t="s">
        <v>2144</v>
      </c>
      <c r="C1158" s="327" t="s">
        <v>1130</v>
      </c>
      <c r="D1158" s="247">
        <v>1100</v>
      </c>
      <c r="E1158" s="5" t="s">
        <v>2798</v>
      </c>
      <c r="F1158" s="436">
        <f t="shared" si="65"/>
        <v>1100</v>
      </c>
      <c r="G1158" s="457">
        <f t="shared" si="63"/>
        <v>1138.5</v>
      </c>
    </row>
    <row r="1159" spans="1:7">
      <c r="A1159" s="396"/>
      <c r="B1159" s="349" t="s">
        <v>2145</v>
      </c>
      <c r="C1159" s="327" t="s">
        <v>1130</v>
      </c>
      <c r="D1159" s="247">
        <v>300</v>
      </c>
      <c r="E1159" s="5" t="s">
        <v>2798</v>
      </c>
      <c r="F1159" s="436">
        <f t="shared" si="65"/>
        <v>300</v>
      </c>
      <c r="G1159" s="457">
        <f t="shared" si="63"/>
        <v>310.5</v>
      </c>
    </row>
    <row r="1160" spans="1:7">
      <c r="A1160" s="396"/>
      <c r="B1160" s="349" t="s">
        <v>2466</v>
      </c>
      <c r="C1160" s="327" t="s">
        <v>1130</v>
      </c>
      <c r="D1160" s="247">
        <v>2200</v>
      </c>
      <c r="E1160" s="5" t="s">
        <v>2798</v>
      </c>
      <c r="F1160" s="436">
        <f t="shared" si="65"/>
        <v>2200</v>
      </c>
      <c r="G1160" s="457">
        <f t="shared" si="63"/>
        <v>2277</v>
      </c>
    </row>
    <row r="1161" spans="1:7">
      <c r="A1161" s="396"/>
      <c r="B1161" s="349" t="s">
        <v>2467</v>
      </c>
      <c r="C1161" s="327" t="s">
        <v>1130</v>
      </c>
      <c r="D1161" s="247">
        <v>2700</v>
      </c>
      <c r="E1161" s="5" t="s">
        <v>2798</v>
      </c>
      <c r="F1161" s="436">
        <f t="shared" si="65"/>
        <v>2700</v>
      </c>
      <c r="G1161" s="457">
        <f t="shared" si="63"/>
        <v>2794.5</v>
      </c>
    </row>
    <row r="1162" spans="1:7">
      <c r="A1162" s="396"/>
      <c r="B1162" s="349" t="s">
        <v>2146</v>
      </c>
      <c r="C1162" s="327" t="s">
        <v>1130</v>
      </c>
      <c r="D1162" s="247"/>
      <c r="E1162" s="5" t="s">
        <v>2798</v>
      </c>
      <c r="F1162" s="436">
        <f t="shared" si="65"/>
        <v>0</v>
      </c>
      <c r="G1162" s="457">
        <f t="shared" si="63"/>
        <v>0</v>
      </c>
    </row>
    <row r="1163" spans="1:7">
      <c r="A1163" s="396"/>
      <c r="B1163" s="349" t="s">
        <v>2147</v>
      </c>
      <c r="C1163" s="327" t="s">
        <v>1130</v>
      </c>
      <c r="D1163" s="247">
        <v>140</v>
      </c>
      <c r="E1163" s="5" t="s">
        <v>2798</v>
      </c>
      <c r="F1163" s="436">
        <f t="shared" si="65"/>
        <v>140</v>
      </c>
      <c r="G1163" s="457">
        <f t="shared" si="63"/>
        <v>144.9</v>
      </c>
    </row>
    <row r="1164" spans="1:7">
      <c r="A1164" s="396"/>
      <c r="B1164" s="349" t="s">
        <v>2148</v>
      </c>
      <c r="C1164" s="327" t="s">
        <v>1130</v>
      </c>
      <c r="D1164" s="247">
        <v>300</v>
      </c>
      <c r="E1164" s="5" t="s">
        <v>2798</v>
      </c>
      <c r="F1164" s="436">
        <f t="shared" si="65"/>
        <v>300</v>
      </c>
      <c r="G1164" s="457">
        <f t="shared" si="63"/>
        <v>310.5</v>
      </c>
    </row>
    <row r="1165" spans="1:7">
      <c r="A1165" s="396"/>
      <c r="B1165" s="349" t="s">
        <v>2149</v>
      </c>
      <c r="C1165" s="327" t="s">
        <v>1130</v>
      </c>
      <c r="D1165" s="247">
        <v>120</v>
      </c>
      <c r="E1165" s="5" t="s">
        <v>2798</v>
      </c>
      <c r="F1165" s="436">
        <f t="shared" si="65"/>
        <v>120</v>
      </c>
      <c r="G1165" s="457">
        <f t="shared" ref="G1165:G1211" si="66">FLOOR(F1165*1.035,0.01)</f>
        <v>124.2</v>
      </c>
    </row>
    <row r="1166" spans="1:7">
      <c r="A1166" s="396"/>
      <c r="B1166" s="349" t="s">
        <v>2150</v>
      </c>
      <c r="C1166" s="327" t="s">
        <v>1130</v>
      </c>
      <c r="D1166" s="247"/>
      <c r="E1166" s="5" t="s">
        <v>2798</v>
      </c>
      <c r="F1166" s="436">
        <f t="shared" si="65"/>
        <v>0</v>
      </c>
      <c r="G1166" s="457">
        <f t="shared" si="66"/>
        <v>0</v>
      </c>
    </row>
    <row r="1167" spans="1:7">
      <c r="A1167" s="396"/>
      <c r="B1167" s="349" t="s">
        <v>2151</v>
      </c>
      <c r="C1167" s="327" t="s">
        <v>1130</v>
      </c>
      <c r="D1167" s="247">
        <v>130</v>
      </c>
      <c r="E1167" s="5" t="s">
        <v>2798</v>
      </c>
      <c r="F1167" s="436">
        <f t="shared" si="65"/>
        <v>130</v>
      </c>
      <c r="G1167" s="457">
        <f t="shared" si="66"/>
        <v>134.55000000000001</v>
      </c>
    </row>
    <row r="1168" spans="1:7">
      <c r="A1168" s="396"/>
      <c r="B1168" s="349" t="s">
        <v>2152</v>
      </c>
      <c r="C1168" s="327" t="s">
        <v>1130</v>
      </c>
      <c r="D1168" s="247">
        <v>1150</v>
      </c>
      <c r="E1168" s="5" t="s">
        <v>2798</v>
      </c>
      <c r="F1168" s="436">
        <f t="shared" si="65"/>
        <v>1150</v>
      </c>
      <c r="G1168" s="457">
        <f t="shared" si="66"/>
        <v>1190.25</v>
      </c>
    </row>
    <row r="1169" spans="1:7">
      <c r="A1169" s="340">
        <v>64</v>
      </c>
      <c r="B1169" s="340" t="s">
        <v>2153</v>
      </c>
      <c r="C1169" s="327"/>
      <c r="D1169" s="247"/>
      <c r="E1169" s="316"/>
      <c r="F1169" s="436"/>
      <c r="G1169" s="457">
        <f t="shared" si="66"/>
        <v>0</v>
      </c>
    </row>
    <row r="1170" spans="1:7">
      <c r="A1170" s="340"/>
      <c r="B1170" s="415" t="s">
        <v>2603</v>
      </c>
      <c r="C1170" s="327" t="s">
        <v>3598</v>
      </c>
      <c r="D1170" s="247">
        <v>21310</v>
      </c>
      <c r="E1170" s="321" t="s">
        <v>2110</v>
      </c>
      <c r="F1170" s="436">
        <f t="shared" ref="F1170:F1186" si="67">D1170</f>
        <v>21310</v>
      </c>
      <c r="G1170" s="457">
        <f t="shared" si="66"/>
        <v>22055.850000000002</v>
      </c>
    </row>
    <row r="1171" spans="1:7">
      <c r="A1171" s="340"/>
      <c r="B1171" s="415" t="s">
        <v>2604</v>
      </c>
      <c r="C1171" s="327" t="s">
        <v>1130</v>
      </c>
      <c r="D1171" s="247">
        <v>6242</v>
      </c>
      <c r="E1171" s="321" t="s">
        <v>2110</v>
      </c>
      <c r="F1171" s="436">
        <f t="shared" si="67"/>
        <v>6242</v>
      </c>
      <c r="G1171" s="457">
        <f t="shared" si="66"/>
        <v>6460.47</v>
      </c>
    </row>
    <row r="1172" spans="1:7">
      <c r="A1172" s="340"/>
      <c r="B1172" s="415" t="s">
        <v>2605</v>
      </c>
      <c r="C1172" s="327" t="s">
        <v>3460</v>
      </c>
      <c r="D1172" s="247">
        <v>1085</v>
      </c>
      <c r="E1172" s="5" t="s">
        <v>803</v>
      </c>
      <c r="F1172" s="436">
        <f t="shared" si="67"/>
        <v>1085</v>
      </c>
      <c r="G1172" s="457">
        <f t="shared" si="66"/>
        <v>1122.97</v>
      </c>
    </row>
    <row r="1173" spans="1:7">
      <c r="A1173" s="340"/>
      <c r="B1173" s="415" t="s">
        <v>2606</v>
      </c>
      <c r="C1173" s="327" t="s">
        <v>1130</v>
      </c>
      <c r="D1173" s="247">
        <v>4320</v>
      </c>
      <c r="E1173" s="5" t="s">
        <v>803</v>
      </c>
      <c r="F1173" s="436">
        <f t="shared" si="67"/>
        <v>4320</v>
      </c>
      <c r="G1173" s="457">
        <f t="shared" si="66"/>
        <v>4471.2</v>
      </c>
    </row>
    <row r="1174" spans="1:7">
      <c r="A1174" s="340"/>
      <c r="B1174" s="415" t="s">
        <v>2607</v>
      </c>
      <c r="C1174" s="327" t="s">
        <v>1130</v>
      </c>
      <c r="D1174" s="247">
        <v>48212</v>
      </c>
      <c r="E1174" s="5" t="s">
        <v>803</v>
      </c>
      <c r="F1174" s="436">
        <f t="shared" si="67"/>
        <v>48212</v>
      </c>
      <c r="G1174" s="457">
        <f t="shared" si="66"/>
        <v>49899.42</v>
      </c>
    </row>
    <row r="1175" spans="1:7">
      <c r="A1175" s="340"/>
      <c r="B1175" s="415" t="s">
        <v>2608</v>
      </c>
      <c r="C1175" s="327" t="s">
        <v>1130</v>
      </c>
      <c r="D1175" s="247">
        <v>297716</v>
      </c>
      <c r="E1175" s="5" t="s">
        <v>803</v>
      </c>
      <c r="F1175" s="436">
        <f t="shared" si="67"/>
        <v>297716</v>
      </c>
      <c r="G1175" s="457">
        <f t="shared" si="66"/>
        <v>308136.06</v>
      </c>
    </row>
    <row r="1176" spans="1:7">
      <c r="A1176" s="340"/>
      <c r="B1176" s="415" t="s">
        <v>1613</v>
      </c>
      <c r="C1176" s="327" t="s">
        <v>1614</v>
      </c>
      <c r="D1176" s="247">
        <v>2480</v>
      </c>
      <c r="E1176" s="5" t="s">
        <v>3355</v>
      </c>
      <c r="F1176" s="436">
        <f t="shared" si="67"/>
        <v>2480</v>
      </c>
      <c r="G1176" s="457">
        <f t="shared" si="66"/>
        <v>2566.8000000000002</v>
      </c>
    </row>
    <row r="1177" spans="1:7">
      <c r="A1177" s="340"/>
      <c r="B1177" s="415" t="s">
        <v>1615</v>
      </c>
      <c r="C1177" s="327" t="s">
        <v>1614</v>
      </c>
      <c r="D1177" s="247">
        <v>239</v>
      </c>
      <c r="E1177" s="5" t="s">
        <v>3355</v>
      </c>
      <c r="F1177" s="436">
        <f t="shared" si="67"/>
        <v>239</v>
      </c>
      <c r="G1177" s="457">
        <f t="shared" si="66"/>
        <v>247.36</v>
      </c>
    </row>
    <row r="1178" spans="1:7">
      <c r="A1178" s="340"/>
      <c r="B1178" s="415" t="s">
        <v>1616</v>
      </c>
      <c r="C1178" s="327" t="s">
        <v>3598</v>
      </c>
      <c r="D1178" s="247">
        <v>98</v>
      </c>
      <c r="E1178" s="321" t="s">
        <v>2110</v>
      </c>
      <c r="F1178" s="436">
        <f t="shared" si="67"/>
        <v>98</v>
      </c>
      <c r="G1178" s="457">
        <f t="shared" si="66"/>
        <v>101.43</v>
      </c>
    </row>
    <row r="1179" spans="1:7">
      <c r="A1179" s="340"/>
      <c r="B1179" s="415" t="s">
        <v>1617</v>
      </c>
      <c r="C1179" s="327" t="s">
        <v>3460</v>
      </c>
      <c r="D1179" s="247">
        <v>3000</v>
      </c>
      <c r="E1179" s="5" t="s">
        <v>803</v>
      </c>
      <c r="F1179" s="436">
        <f t="shared" si="67"/>
        <v>3000</v>
      </c>
      <c r="G1179" s="457">
        <f t="shared" si="66"/>
        <v>3105</v>
      </c>
    </row>
    <row r="1180" spans="1:7">
      <c r="A1180" s="340"/>
      <c r="B1180" s="415" t="s">
        <v>1618</v>
      </c>
      <c r="C1180" s="327" t="s">
        <v>3460</v>
      </c>
      <c r="D1180" s="247">
        <v>1500</v>
      </c>
      <c r="E1180" s="5" t="s">
        <v>803</v>
      </c>
      <c r="F1180" s="436">
        <f t="shared" si="67"/>
        <v>1500</v>
      </c>
      <c r="G1180" s="457">
        <f t="shared" si="66"/>
        <v>1552.5</v>
      </c>
    </row>
    <row r="1181" spans="1:7">
      <c r="A1181" s="340"/>
      <c r="B1181" s="415" t="s">
        <v>1619</v>
      </c>
      <c r="C1181" s="327" t="s">
        <v>3598</v>
      </c>
      <c r="D1181" s="247">
        <v>500</v>
      </c>
      <c r="E1181" s="321" t="s">
        <v>2110</v>
      </c>
      <c r="F1181" s="436">
        <f t="shared" si="67"/>
        <v>500</v>
      </c>
      <c r="G1181" s="457">
        <f t="shared" si="66"/>
        <v>517.5</v>
      </c>
    </row>
    <row r="1182" spans="1:7" ht="27">
      <c r="A1182" s="340"/>
      <c r="B1182" s="379" t="s">
        <v>1620</v>
      </c>
      <c r="C1182" s="327" t="s">
        <v>3598</v>
      </c>
      <c r="D1182" s="247">
        <v>16415</v>
      </c>
      <c r="E1182" s="321" t="s">
        <v>2110</v>
      </c>
      <c r="F1182" s="436">
        <f t="shared" si="67"/>
        <v>16415</v>
      </c>
      <c r="G1182" s="457">
        <f t="shared" si="66"/>
        <v>16989.52</v>
      </c>
    </row>
    <row r="1183" spans="1:7">
      <c r="A1183" s="340"/>
      <c r="B1183" s="415" t="s">
        <v>3255</v>
      </c>
      <c r="C1183" s="327" t="s">
        <v>1614</v>
      </c>
      <c r="D1183" s="247">
        <v>600</v>
      </c>
      <c r="E1183" s="5" t="s">
        <v>3355</v>
      </c>
      <c r="F1183" s="436">
        <f t="shared" si="67"/>
        <v>600</v>
      </c>
      <c r="G1183" s="457">
        <f t="shared" si="66"/>
        <v>621</v>
      </c>
    </row>
    <row r="1184" spans="1:7">
      <c r="A1184" s="340"/>
      <c r="B1184" s="415" t="s">
        <v>620</v>
      </c>
      <c r="C1184" s="327" t="s">
        <v>1614</v>
      </c>
      <c r="D1184" s="247">
        <v>710</v>
      </c>
      <c r="E1184" s="5" t="s">
        <v>3355</v>
      </c>
      <c r="F1184" s="436">
        <f t="shared" si="67"/>
        <v>710</v>
      </c>
      <c r="G1184" s="457">
        <f t="shared" si="66"/>
        <v>734.85</v>
      </c>
    </row>
    <row r="1185" spans="1:7">
      <c r="A1185" s="340">
        <v>65</v>
      </c>
      <c r="B1185" s="416" t="s">
        <v>621</v>
      </c>
      <c r="C1185" s="327"/>
      <c r="D1185" s="247"/>
      <c r="E1185" s="316"/>
      <c r="F1185" s="436">
        <f t="shared" si="67"/>
        <v>0</v>
      </c>
      <c r="G1185" s="457"/>
    </row>
    <row r="1186" spans="1:7">
      <c r="A1186" s="396"/>
      <c r="B1186" s="417" t="s">
        <v>622</v>
      </c>
      <c r="C1186" s="418" t="s">
        <v>623</v>
      </c>
      <c r="D1186" s="247"/>
      <c r="E1186" s="5" t="s">
        <v>3355</v>
      </c>
      <c r="F1186" s="436">
        <f t="shared" si="67"/>
        <v>0</v>
      </c>
      <c r="G1186" s="457">
        <f t="shared" si="66"/>
        <v>0</v>
      </c>
    </row>
    <row r="1187" spans="1:7">
      <c r="A1187" s="396"/>
      <c r="B1187" s="417" t="s">
        <v>624</v>
      </c>
      <c r="C1187" s="418" t="s">
        <v>623</v>
      </c>
      <c r="D1187" s="247"/>
      <c r="E1187" s="5" t="s">
        <v>3355</v>
      </c>
      <c r="F1187" s="436"/>
      <c r="G1187" s="457">
        <f t="shared" si="66"/>
        <v>0</v>
      </c>
    </row>
    <row r="1188" spans="1:7">
      <c r="A1188" s="396"/>
      <c r="B1188" s="417" t="s">
        <v>625</v>
      </c>
      <c r="C1188" s="418" t="s">
        <v>623</v>
      </c>
      <c r="D1188" s="247"/>
      <c r="E1188" s="5" t="s">
        <v>3355</v>
      </c>
      <c r="F1188" s="436">
        <f t="shared" ref="F1188:F1198" si="68">D1188</f>
        <v>0</v>
      </c>
      <c r="G1188" s="457">
        <f t="shared" si="66"/>
        <v>0</v>
      </c>
    </row>
    <row r="1189" spans="1:7">
      <c r="A1189" s="396"/>
      <c r="B1189" s="417" t="s">
        <v>626</v>
      </c>
      <c r="C1189" s="418" t="s">
        <v>627</v>
      </c>
      <c r="D1189" s="247">
        <v>50</v>
      </c>
      <c r="E1189" s="5" t="s">
        <v>803</v>
      </c>
      <c r="F1189" s="436">
        <f t="shared" si="68"/>
        <v>50</v>
      </c>
      <c r="G1189" s="457">
        <f t="shared" si="66"/>
        <v>51.75</v>
      </c>
    </row>
    <row r="1190" spans="1:7">
      <c r="A1190" s="396"/>
      <c r="B1190" s="417" t="s">
        <v>628</v>
      </c>
      <c r="C1190" s="418" t="s">
        <v>627</v>
      </c>
      <c r="D1190" s="247">
        <v>220</v>
      </c>
      <c r="E1190" s="5" t="s">
        <v>803</v>
      </c>
      <c r="F1190" s="436">
        <f t="shared" si="68"/>
        <v>220</v>
      </c>
      <c r="G1190" s="457">
        <f t="shared" si="66"/>
        <v>227.70000000000002</v>
      </c>
    </row>
    <row r="1191" spans="1:7">
      <c r="A1191" s="396"/>
      <c r="B1191" s="417" t="s">
        <v>629</v>
      </c>
      <c r="C1191" s="418" t="s">
        <v>627</v>
      </c>
      <c r="D1191" s="247">
        <v>300</v>
      </c>
      <c r="E1191" s="5" t="s">
        <v>803</v>
      </c>
      <c r="F1191" s="436">
        <f t="shared" si="68"/>
        <v>300</v>
      </c>
      <c r="G1191" s="457">
        <f t="shared" si="66"/>
        <v>310.5</v>
      </c>
    </row>
    <row r="1192" spans="1:7">
      <c r="A1192" s="396"/>
      <c r="B1192" s="417" t="s">
        <v>630</v>
      </c>
      <c r="C1192" s="418" t="s">
        <v>627</v>
      </c>
      <c r="D1192" s="247">
        <v>730</v>
      </c>
      <c r="E1192" s="5" t="s">
        <v>803</v>
      </c>
      <c r="F1192" s="436">
        <f t="shared" si="68"/>
        <v>730</v>
      </c>
      <c r="G1192" s="457">
        <f t="shared" si="66"/>
        <v>755.55000000000007</v>
      </c>
    </row>
    <row r="1193" spans="1:7">
      <c r="A1193" s="396"/>
      <c r="B1193" s="417" t="s">
        <v>631</v>
      </c>
      <c r="C1193" s="418" t="s">
        <v>627</v>
      </c>
      <c r="D1193" s="247">
        <v>1050</v>
      </c>
      <c r="E1193" s="5" t="s">
        <v>803</v>
      </c>
      <c r="F1193" s="436">
        <f t="shared" si="68"/>
        <v>1050</v>
      </c>
      <c r="G1193" s="457">
        <f t="shared" si="66"/>
        <v>1086.75</v>
      </c>
    </row>
    <row r="1194" spans="1:7">
      <c r="A1194" s="396"/>
      <c r="B1194" s="417" t="s">
        <v>632</v>
      </c>
      <c r="C1194" s="418" t="s">
        <v>627</v>
      </c>
      <c r="D1194" s="247">
        <v>50</v>
      </c>
      <c r="E1194" s="5" t="s">
        <v>803</v>
      </c>
      <c r="F1194" s="436">
        <f t="shared" si="68"/>
        <v>50</v>
      </c>
      <c r="G1194" s="457">
        <f t="shared" si="66"/>
        <v>51.75</v>
      </c>
    </row>
    <row r="1195" spans="1:7">
      <c r="A1195" s="396"/>
      <c r="B1195" s="417" t="s">
        <v>633</v>
      </c>
      <c r="C1195" s="418" t="s">
        <v>627</v>
      </c>
      <c r="D1195" s="247">
        <v>200</v>
      </c>
      <c r="E1195" s="5" t="s">
        <v>803</v>
      </c>
      <c r="F1195" s="436">
        <f t="shared" si="68"/>
        <v>200</v>
      </c>
      <c r="G1195" s="457">
        <f t="shared" si="66"/>
        <v>207</v>
      </c>
    </row>
    <row r="1196" spans="1:7">
      <c r="A1196" s="396"/>
      <c r="B1196" s="417" t="s">
        <v>634</v>
      </c>
      <c r="C1196" s="418" t="s">
        <v>627</v>
      </c>
      <c r="D1196" s="247">
        <v>270</v>
      </c>
      <c r="E1196" s="5" t="s">
        <v>803</v>
      </c>
      <c r="F1196" s="436">
        <f t="shared" si="68"/>
        <v>270</v>
      </c>
      <c r="G1196" s="457">
        <f t="shared" si="66"/>
        <v>279.45</v>
      </c>
    </row>
    <row r="1197" spans="1:7">
      <c r="A1197" s="396"/>
      <c r="B1197" s="417" t="s">
        <v>635</v>
      </c>
      <c r="C1197" s="418" t="s">
        <v>627</v>
      </c>
      <c r="D1197" s="247">
        <v>320</v>
      </c>
      <c r="E1197" s="5" t="s">
        <v>803</v>
      </c>
      <c r="F1197" s="436">
        <f t="shared" si="68"/>
        <v>320</v>
      </c>
      <c r="G1197" s="457">
        <f t="shared" si="66"/>
        <v>331.2</v>
      </c>
    </row>
    <row r="1198" spans="1:7">
      <c r="A1198" s="396"/>
      <c r="B1198" s="417" t="s">
        <v>636</v>
      </c>
      <c r="C1198" s="418" t="s">
        <v>627</v>
      </c>
      <c r="D1198" s="247">
        <v>490</v>
      </c>
      <c r="E1198" s="5" t="s">
        <v>803</v>
      </c>
      <c r="F1198" s="436">
        <f t="shared" si="68"/>
        <v>490</v>
      </c>
      <c r="G1198" s="457">
        <f t="shared" si="66"/>
        <v>507.15000000000003</v>
      </c>
    </row>
    <row r="1199" spans="1:7" ht="66.75">
      <c r="A1199" s="396"/>
      <c r="B1199" s="375" t="s">
        <v>95</v>
      </c>
      <c r="C1199" s="418"/>
      <c r="D1199" s="247"/>
      <c r="E1199" s="316"/>
      <c r="F1199" s="436"/>
      <c r="G1199" s="457"/>
    </row>
    <row r="1200" spans="1:7">
      <c r="A1200" s="396"/>
      <c r="B1200" s="417" t="s">
        <v>637</v>
      </c>
      <c r="C1200" s="418" t="s">
        <v>638</v>
      </c>
      <c r="D1200" s="247"/>
      <c r="E1200" s="321" t="s">
        <v>1101</v>
      </c>
      <c r="F1200" s="436">
        <f t="shared" ref="F1200:F1211" si="69">D1200</f>
        <v>0</v>
      </c>
      <c r="G1200" s="457">
        <f t="shared" si="66"/>
        <v>0</v>
      </c>
    </row>
    <row r="1201" spans="1:7">
      <c r="A1201" s="396"/>
      <c r="B1201" s="417" t="s">
        <v>2741</v>
      </c>
      <c r="C1201" s="418" t="s">
        <v>638</v>
      </c>
      <c r="D1201" s="247"/>
      <c r="E1201" s="321" t="s">
        <v>1101</v>
      </c>
      <c r="F1201" s="436">
        <f t="shared" si="69"/>
        <v>0</v>
      </c>
      <c r="G1201" s="457">
        <f t="shared" si="66"/>
        <v>0</v>
      </c>
    </row>
    <row r="1202" spans="1:7">
      <c r="A1202" s="396"/>
      <c r="B1202" s="417" t="s">
        <v>2742</v>
      </c>
      <c r="C1202" s="418" t="s">
        <v>638</v>
      </c>
      <c r="D1202" s="247"/>
      <c r="E1202" s="321" t="s">
        <v>1101</v>
      </c>
      <c r="F1202" s="436">
        <f t="shared" si="69"/>
        <v>0</v>
      </c>
      <c r="G1202" s="457">
        <f t="shared" si="66"/>
        <v>0</v>
      </c>
    </row>
    <row r="1203" spans="1:7">
      <c r="A1203" s="396"/>
      <c r="B1203" s="417" t="s">
        <v>2743</v>
      </c>
      <c r="C1203" s="418" t="s">
        <v>638</v>
      </c>
      <c r="D1203" s="247"/>
      <c r="E1203" s="321" t="s">
        <v>1101</v>
      </c>
      <c r="F1203" s="436">
        <f t="shared" si="69"/>
        <v>0</v>
      </c>
      <c r="G1203" s="457">
        <f t="shared" si="66"/>
        <v>0</v>
      </c>
    </row>
    <row r="1204" spans="1:7">
      <c r="A1204" s="396"/>
      <c r="B1204" s="417" t="s">
        <v>2744</v>
      </c>
      <c r="C1204" s="418" t="s">
        <v>638</v>
      </c>
      <c r="D1204" s="247"/>
      <c r="E1204" s="321" t="s">
        <v>1101</v>
      </c>
      <c r="F1204" s="436">
        <f t="shared" si="69"/>
        <v>0</v>
      </c>
      <c r="G1204" s="457">
        <f t="shared" si="66"/>
        <v>0</v>
      </c>
    </row>
    <row r="1205" spans="1:7">
      <c r="A1205" s="396"/>
      <c r="B1205" s="417" t="s">
        <v>2745</v>
      </c>
      <c r="C1205" s="418" t="s">
        <v>96</v>
      </c>
      <c r="D1205" s="247">
        <v>300</v>
      </c>
      <c r="E1205" s="321" t="s">
        <v>2110</v>
      </c>
      <c r="F1205" s="436">
        <f t="shared" si="69"/>
        <v>300</v>
      </c>
      <c r="G1205" s="457">
        <f t="shared" si="66"/>
        <v>310.5</v>
      </c>
    </row>
    <row r="1206" spans="1:7" ht="27">
      <c r="A1206" s="396"/>
      <c r="B1206" s="375" t="s">
        <v>2746</v>
      </c>
      <c r="C1206" s="418" t="s">
        <v>627</v>
      </c>
      <c r="D1206" s="247">
        <v>6000</v>
      </c>
      <c r="E1206" s="5" t="s">
        <v>803</v>
      </c>
      <c r="F1206" s="436">
        <f t="shared" si="69"/>
        <v>6000</v>
      </c>
      <c r="G1206" s="457">
        <f t="shared" si="66"/>
        <v>6210</v>
      </c>
    </row>
    <row r="1207" spans="1:7">
      <c r="A1207" s="396"/>
      <c r="B1207" s="417" t="s">
        <v>2747</v>
      </c>
      <c r="C1207" s="418" t="s">
        <v>623</v>
      </c>
      <c r="D1207" s="247">
        <v>230</v>
      </c>
      <c r="E1207" s="5" t="s">
        <v>3355</v>
      </c>
      <c r="F1207" s="436">
        <f t="shared" si="69"/>
        <v>230</v>
      </c>
      <c r="G1207" s="457">
        <f t="shared" si="66"/>
        <v>238.05</v>
      </c>
    </row>
    <row r="1208" spans="1:7">
      <c r="A1208" s="419"/>
      <c r="B1208" s="417" t="s">
        <v>2748</v>
      </c>
      <c r="C1208" s="418" t="s">
        <v>623</v>
      </c>
      <c r="D1208" s="247"/>
      <c r="E1208" s="5" t="s">
        <v>3355</v>
      </c>
      <c r="F1208" s="436">
        <f t="shared" si="69"/>
        <v>0</v>
      </c>
      <c r="G1208" s="457">
        <f t="shared" si="66"/>
        <v>0</v>
      </c>
    </row>
    <row r="1209" spans="1:7">
      <c r="A1209" s="419"/>
      <c r="B1209" s="417" t="s">
        <v>2749</v>
      </c>
      <c r="C1209" s="418" t="s">
        <v>2750</v>
      </c>
      <c r="D1209" s="247"/>
      <c r="E1209" s="316"/>
      <c r="F1209" s="436">
        <f t="shared" si="69"/>
        <v>0</v>
      </c>
      <c r="G1209" s="457">
        <f t="shared" si="66"/>
        <v>0</v>
      </c>
    </row>
    <row r="1210" spans="1:7">
      <c r="A1210" s="396"/>
      <c r="B1210" s="417" t="s">
        <v>2751</v>
      </c>
      <c r="C1210" s="418" t="s">
        <v>2750</v>
      </c>
      <c r="D1210" s="247"/>
      <c r="E1210" s="316"/>
      <c r="F1210" s="436">
        <f t="shared" si="69"/>
        <v>0</v>
      </c>
      <c r="G1210" s="457">
        <f t="shared" si="66"/>
        <v>0</v>
      </c>
    </row>
    <row r="1211" spans="1:7">
      <c r="A1211" s="396"/>
      <c r="B1211" s="417" t="s">
        <v>2752</v>
      </c>
      <c r="C1211" s="418" t="s">
        <v>2753</v>
      </c>
      <c r="D1211" s="247"/>
      <c r="E1211" s="5" t="s">
        <v>3070</v>
      </c>
      <c r="F1211" s="436">
        <f t="shared" si="69"/>
        <v>0</v>
      </c>
      <c r="G1211" s="457">
        <f t="shared" si="66"/>
        <v>0</v>
      </c>
    </row>
  </sheetData>
  <mergeCells count="9">
    <mergeCell ref="E5:G5"/>
    <mergeCell ref="A2:F2"/>
    <mergeCell ref="A5:A7"/>
    <mergeCell ref="B5:B7"/>
    <mergeCell ref="D6:D7"/>
    <mergeCell ref="C6:C7"/>
    <mergeCell ref="C5:D5"/>
    <mergeCell ref="E6:E7"/>
    <mergeCell ref="F6:F7"/>
  </mergeCells>
  <phoneticPr fontId="61" type="noConversion"/>
  <pageMargins left="1" right="0.25" top="1" bottom="1.25" header="0.5" footer="0.1"/>
  <pageSetup paperSize="9" scale="89" orientation="portrait" horizontalDpi="300" verticalDpi="300" r:id="rId1"/>
  <headerFooter alignWithMargins="0">
    <oddHeader>&amp;L&amp;"Arial,Italic"&amp;6Kathmandu District material Rate 065-066</oddHeader>
    <oddFooter>&amp;C&amp;P</oddFooter>
  </headerFooter>
  <rowBreaks count="6" manualBreakCount="6">
    <brk id="193" max="16383" man="1"/>
    <brk id="215" max="6" man="1"/>
    <brk id="249" max="16383" man="1"/>
    <brk id="373" max="6" man="1"/>
    <brk id="406" max="16383" man="1"/>
    <brk id="470" max="16383" man="1"/>
  </rowBreaks>
</worksheet>
</file>

<file path=xl/worksheets/sheet3.xml><?xml version="1.0" encoding="utf-8"?>
<worksheet xmlns="http://schemas.openxmlformats.org/spreadsheetml/2006/main" xmlns:r="http://schemas.openxmlformats.org/officeDocument/2006/relationships">
  <dimension ref="A1:H533"/>
  <sheetViews>
    <sheetView tabSelected="1" workbookViewId="0">
      <selection activeCell="D44" sqref="D44"/>
    </sheetView>
  </sheetViews>
  <sheetFormatPr defaultRowHeight="15"/>
  <cols>
    <col min="1" max="1" width="9.140625" style="146"/>
    <col min="2" max="2" width="10" style="2" hidden="1" customWidth="1"/>
    <col min="3" max="3" width="49.42578125" style="893" customWidth="1"/>
    <col min="4" max="4" width="13" style="146" customWidth="1"/>
    <col min="5" max="5" width="14.140625" style="146" customWidth="1"/>
    <col min="6" max="6" width="18.28515625" style="146" customWidth="1"/>
    <col min="7" max="7" width="9.140625" style="2"/>
    <col min="8" max="8" width="11.5703125" style="2" hidden="1" customWidth="1"/>
    <col min="9" max="16384" width="9.140625" style="2"/>
  </cols>
  <sheetData>
    <row r="1" spans="1:6" ht="22.5" customHeight="1">
      <c r="A1" s="1065" t="s">
        <v>4099</v>
      </c>
      <c r="B1" s="1065"/>
      <c r="C1" s="1065"/>
      <c r="D1" s="1065"/>
      <c r="E1" s="1065"/>
      <c r="F1" s="1065"/>
    </row>
    <row r="2" spans="1:6" ht="9" customHeight="1"/>
    <row r="3" spans="1:6" ht="33" customHeight="1">
      <c r="A3" s="666" t="s">
        <v>1684</v>
      </c>
      <c r="B3" s="666" t="s">
        <v>4098</v>
      </c>
      <c r="C3" s="666" t="s">
        <v>3341</v>
      </c>
      <c r="D3" s="666" t="s">
        <v>3343</v>
      </c>
      <c r="E3" s="666" t="s">
        <v>3344</v>
      </c>
      <c r="F3" s="666" t="s">
        <v>3344</v>
      </c>
    </row>
    <row r="4" spans="1:6" ht="17.25">
      <c r="A4" s="190">
        <v>1</v>
      </c>
      <c r="B4" s="190">
        <v>1</v>
      </c>
      <c r="C4" s="894" t="s">
        <v>2497</v>
      </c>
      <c r="D4" s="666" t="s">
        <v>1707</v>
      </c>
      <c r="E4" s="876">
        <v>375</v>
      </c>
      <c r="F4" s="280">
        <f>E4</f>
        <v>375</v>
      </c>
    </row>
    <row r="5" spans="1:6" ht="17.25">
      <c r="A5" s="190">
        <v>2</v>
      </c>
      <c r="B5" s="190">
        <f>+B4+1</f>
        <v>2</v>
      </c>
      <c r="C5" s="894" t="s">
        <v>790</v>
      </c>
      <c r="D5" s="666" t="s">
        <v>1707</v>
      </c>
      <c r="E5" s="876">
        <v>525</v>
      </c>
      <c r="F5" s="280">
        <f t="shared" ref="F5:F68" si="0">E5</f>
        <v>525</v>
      </c>
    </row>
    <row r="6" spans="1:6" s="654" customFormat="1" ht="17.25">
      <c r="A6" s="190">
        <v>3</v>
      </c>
      <c r="B6" s="190">
        <v>2</v>
      </c>
      <c r="C6" s="894" t="s">
        <v>2498</v>
      </c>
      <c r="D6" s="666" t="s">
        <v>2499</v>
      </c>
      <c r="E6" s="877">
        <v>150</v>
      </c>
      <c r="F6" s="280">
        <f t="shared" si="0"/>
        <v>150</v>
      </c>
    </row>
    <row r="7" spans="1:6" ht="38.25">
      <c r="A7" s="190">
        <v>4</v>
      </c>
      <c r="B7" s="190">
        <f>+B6+1</f>
        <v>3</v>
      </c>
      <c r="C7" s="326" t="s">
        <v>3393</v>
      </c>
      <c r="D7" s="666" t="s">
        <v>2730</v>
      </c>
      <c r="E7" s="876">
        <v>1129.92</v>
      </c>
      <c r="F7" s="280">
        <f t="shared" si="0"/>
        <v>1129.92</v>
      </c>
    </row>
    <row r="8" spans="1:6" ht="33">
      <c r="A8" s="190">
        <v>5</v>
      </c>
      <c r="B8" s="190">
        <f t="shared" ref="B8:B71" si="1">+B7+1</f>
        <v>4</v>
      </c>
      <c r="C8" s="326" t="s">
        <v>3392</v>
      </c>
      <c r="D8" s="666" t="s">
        <v>2730</v>
      </c>
      <c r="E8" s="876">
        <v>1659.57</v>
      </c>
      <c r="F8" s="280">
        <f t="shared" si="0"/>
        <v>1659.57</v>
      </c>
    </row>
    <row r="9" spans="1:6" ht="17.25">
      <c r="A9" s="190">
        <v>6</v>
      </c>
      <c r="B9" s="190">
        <f t="shared" si="1"/>
        <v>5</v>
      </c>
      <c r="C9" s="894" t="s">
        <v>1513</v>
      </c>
      <c r="D9" s="666" t="s">
        <v>2730</v>
      </c>
      <c r="E9" s="876">
        <v>1659.57</v>
      </c>
      <c r="F9" s="280">
        <f t="shared" si="0"/>
        <v>1659.57</v>
      </c>
    </row>
    <row r="10" spans="1:6" ht="18">
      <c r="A10" s="190">
        <v>7</v>
      </c>
      <c r="B10" s="190">
        <f t="shared" si="1"/>
        <v>6</v>
      </c>
      <c r="C10" s="895" t="s">
        <v>532</v>
      </c>
      <c r="D10" s="666" t="s">
        <v>2732</v>
      </c>
      <c r="E10" s="876">
        <v>7.5</v>
      </c>
      <c r="F10" s="280">
        <f t="shared" si="0"/>
        <v>7.5</v>
      </c>
    </row>
    <row r="11" spans="1:6" ht="18">
      <c r="A11" s="190">
        <v>8</v>
      </c>
      <c r="B11" s="190">
        <f t="shared" si="1"/>
        <v>7</v>
      </c>
      <c r="C11" s="895" t="s">
        <v>2731</v>
      </c>
      <c r="D11" s="666" t="s">
        <v>2732</v>
      </c>
      <c r="E11" s="876">
        <v>8.5</v>
      </c>
      <c r="F11" s="280">
        <f t="shared" si="0"/>
        <v>8.5</v>
      </c>
    </row>
    <row r="12" spans="1:6" ht="18">
      <c r="A12" s="190">
        <v>9</v>
      </c>
      <c r="B12" s="190">
        <f t="shared" si="1"/>
        <v>8</v>
      </c>
      <c r="C12" s="895" t="s">
        <v>533</v>
      </c>
      <c r="D12" s="666" t="s">
        <v>2732</v>
      </c>
      <c r="E12" s="876">
        <v>6</v>
      </c>
      <c r="F12" s="280">
        <f t="shared" si="0"/>
        <v>6</v>
      </c>
    </row>
    <row r="13" spans="1:6" ht="18">
      <c r="A13" s="190">
        <v>10</v>
      </c>
      <c r="B13" s="190">
        <f t="shared" si="1"/>
        <v>9</v>
      </c>
      <c r="C13" s="895" t="s">
        <v>1147</v>
      </c>
      <c r="D13" s="666" t="s">
        <v>2732</v>
      </c>
      <c r="E13" s="877">
        <v>12</v>
      </c>
      <c r="F13" s="280">
        <f t="shared" si="0"/>
        <v>12</v>
      </c>
    </row>
    <row r="14" spans="1:6" s="654" customFormat="1" ht="18">
      <c r="A14" s="190">
        <v>11</v>
      </c>
      <c r="B14" s="462">
        <f t="shared" si="1"/>
        <v>10</v>
      </c>
      <c r="C14" s="896" t="s">
        <v>1177</v>
      </c>
      <c r="D14" s="666" t="s">
        <v>2730</v>
      </c>
      <c r="E14" s="877">
        <v>1235.8499999999999</v>
      </c>
      <c r="F14" s="280">
        <f t="shared" si="0"/>
        <v>1235.8499999999999</v>
      </c>
    </row>
    <row r="15" spans="1:6" ht="18">
      <c r="A15" s="190">
        <v>12</v>
      </c>
      <c r="B15" s="190">
        <f t="shared" si="1"/>
        <v>11</v>
      </c>
      <c r="C15" s="895" t="s">
        <v>1685</v>
      </c>
      <c r="D15" s="666" t="s">
        <v>2228</v>
      </c>
      <c r="E15" s="876">
        <v>14200</v>
      </c>
      <c r="F15" s="280">
        <f t="shared" si="0"/>
        <v>14200</v>
      </c>
    </row>
    <row r="16" spans="1:6" ht="18">
      <c r="A16" s="190">
        <v>13</v>
      </c>
      <c r="B16" s="190">
        <f t="shared" si="1"/>
        <v>12</v>
      </c>
      <c r="C16" s="895" t="s">
        <v>3150</v>
      </c>
      <c r="D16" s="666" t="s">
        <v>2228</v>
      </c>
      <c r="E16" s="876">
        <v>23750</v>
      </c>
      <c r="F16" s="280">
        <f t="shared" si="0"/>
        <v>23750</v>
      </c>
    </row>
    <row r="17" spans="1:6" s="654" customFormat="1" ht="18">
      <c r="A17" s="190">
        <v>14</v>
      </c>
      <c r="B17" s="462">
        <f t="shared" si="1"/>
        <v>13</v>
      </c>
      <c r="C17" s="896" t="s">
        <v>1686</v>
      </c>
      <c r="D17" s="666" t="s">
        <v>2730</v>
      </c>
      <c r="E17" s="877">
        <v>220</v>
      </c>
      <c r="F17" s="280">
        <f t="shared" si="0"/>
        <v>220</v>
      </c>
    </row>
    <row r="18" spans="1:6" ht="18">
      <c r="A18" s="190">
        <v>15</v>
      </c>
      <c r="B18" s="190">
        <f t="shared" si="1"/>
        <v>14</v>
      </c>
      <c r="C18" s="895" t="s">
        <v>534</v>
      </c>
      <c r="D18" s="666" t="s">
        <v>2730</v>
      </c>
      <c r="E18" s="877">
        <v>1483.02</v>
      </c>
      <c r="F18" s="280">
        <f t="shared" si="0"/>
        <v>1483.02</v>
      </c>
    </row>
    <row r="19" spans="1:6" ht="18">
      <c r="A19" s="190">
        <v>16</v>
      </c>
      <c r="B19" s="190">
        <f t="shared" si="1"/>
        <v>15</v>
      </c>
      <c r="C19" s="895" t="s">
        <v>535</v>
      </c>
      <c r="D19" s="666" t="s">
        <v>2730</v>
      </c>
      <c r="E19" s="877">
        <v>1483.02</v>
      </c>
      <c r="F19" s="280">
        <f t="shared" si="0"/>
        <v>1483.02</v>
      </c>
    </row>
    <row r="20" spans="1:6" ht="18">
      <c r="A20" s="190">
        <v>17</v>
      </c>
      <c r="B20" s="190">
        <f t="shared" si="1"/>
        <v>16</v>
      </c>
      <c r="C20" s="895" t="s">
        <v>676</v>
      </c>
      <c r="D20" s="666" t="s">
        <v>2730</v>
      </c>
      <c r="E20" s="878">
        <v>741.51</v>
      </c>
      <c r="F20" s="280">
        <f t="shared" si="0"/>
        <v>741.51</v>
      </c>
    </row>
    <row r="21" spans="1:6" s="654" customFormat="1" ht="18">
      <c r="A21" s="190">
        <v>18</v>
      </c>
      <c r="B21" s="462">
        <f t="shared" si="1"/>
        <v>17</v>
      </c>
      <c r="C21" s="896" t="s">
        <v>3337</v>
      </c>
      <c r="D21" s="666" t="s">
        <v>2730</v>
      </c>
      <c r="E21" s="878">
        <v>1483.02</v>
      </c>
      <c r="F21" s="280">
        <f t="shared" si="0"/>
        <v>1483.02</v>
      </c>
    </row>
    <row r="22" spans="1:6" s="653" customFormat="1" ht="18">
      <c r="A22" s="190">
        <v>19</v>
      </c>
      <c r="B22" s="462">
        <f>+B20+1</f>
        <v>17</v>
      </c>
      <c r="C22" s="896" t="s">
        <v>431</v>
      </c>
      <c r="D22" s="935" t="s">
        <v>2732</v>
      </c>
      <c r="E22" s="878">
        <v>58.26</v>
      </c>
      <c r="F22" s="878">
        <f t="shared" si="0"/>
        <v>58.26</v>
      </c>
    </row>
    <row r="23" spans="1:6" s="653" customFormat="1" ht="18">
      <c r="A23" s="190">
        <v>20</v>
      </c>
      <c r="B23" s="462">
        <f t="shared" si="1"/>
        <v>18</v>
      </c>
      <c r="C23" s="896" t="s">
        <v>431</v>
      </c>
      <c r="D23" s="935" t="s">
        <v>2732</v>
      </c>
      <c r="E23" s="878">
        <v>58.26</v>
      </c>
      <c r="F23" s="878">
        <f t="shared" si="0"/>
        <v>58.26</v>
      </c>
    </row>
    <row r="24" spans="1:6" ht="18">
      <c r="A24" s="190">
        <v>21</v>
      </c>
      <c r="B24" s="190">
        <f t="shared" si="1"/>
        <v>19</v>
      </c>
      <c r="C24" s="895" t="s">
        <v>1145</v>
      </c>
      <c r="D24" s="666" t="s">
        <v>3682</v>
      </c>
      <c r="E24" s="280">
        <v>860.8</v>
      </c>
      <c r="F24" s="280">
        <f t="shared" si="0"/>
        <v>860.8</v>
      </c>
    </row>
    <row r="25" spans="1:6" ht="18">
      <c r="A25" s="190">
        <v>22</v>
      </c>
      <c r="B25" s="190">
        <f t="shared" si="1"/>
        <v>20</v>
      </c>
      <c r="C25" s="895" t="s">
        <v>1142</v>
      </c>
      <c r="D25" s="666" t="s">
        <v>3682</v>
      </c>
      <c r="E25" s="280">
        <v>570.28</v>
      </c>
      <c r="F25" s="280">
        <f t="shared" si="0"/>
        <v>570.28</v>
      </c>
    </row>
    <row r="26" spans="1:6" ht="18">
      <c r="A26" s="190">
        <v>23</v>
      </c>
      <c r="B26" s="190">
        <f t="shared" si="1"/>
        <v>21</v>
      </c>
      <c r="C26" s="895" t="s">
        <v>1143</v>
      </c>
      <c r="D26" s="666" t="s">
        <v>3682</v>
      </c>
      <c r="E26" s="878">
        <v>548.76</v>
      </c>
      <c r="F26" s="280">
        <f t="shared" si="0"/>
        <v>548.76</v>
      </c>
    </row>
    <row r="27" spans="1:6" ht="18">
      <c r="A27" s="190">
        <v>24</v>
      </c>
      <c r="B27" s="190">
        <f t="shared" si="1"/>
        <v>22</v>
      </c>
      <c r="C27" s="895" t="s">
        <v>854</v>
      </c>
      <c r="D27" s="666" t="s">
        <v>3682</v>
      </c>
      <c r="E27" s="280">
        <v>936.12</v>
      </c>
      <c r="F27" s="280">
        <f t="shared" si="0"/>
        <v>936.12</v>
      </c>
    </row>
    <row r="28" spans="1:6" ht="18">
      <c r="A28" s="190">
        <v>25</v>
      </c>
      <c r="B28" s="190">
        <f t="shared" si="1"/>
        <v>23</v>
      </c>
      <c r="C28" s="895" t="s">
        <v>4022</v>
      </c>
      <c r="D28" s="666" t="s">
        <v>3682</v>
      </c>
      <c r="E28" s="878">
        <v>1151.32</v>
      </c>
      <c r="F28" s="280">
        <f t="shared" si="0"/>
        <v>1151.32</v>
      </c>
    </row>
    <row r="29" spans="1:6" ht="18">
      <c r="A29" s="190">
        <v>26</v>
      </c>
      <c r="B29" s="190">
        <f t="shared" si="1"/>
        <v>24</v>
      </c>
      <c r="C29" s="895" t="s">
        <v>3678</v>
      </c>
      <c r="D29" s="666" t="s">
        <v>3682</v>
      </c>
      <c r="E29" s="280">
        <v>1366.52</v>
      </c>
      <c r="F29" s="280">
        <f t="shared" si="0"/>
        <v>1366.52</v>
      </c>
    </row>
    <row r="30" spans="1:6" ht="18">
      <c r="A30" s="190">
        <v>27</v>
      </c>
      <c r="B30" s="190">
        <f t="shared" si="1"/>
        <v>25</v>
      </c>
      <c r="C30" s="895" t="s">
        <v>1146</v>
      </c>
      <c r="D30" s="666" t="s">
        <v>3682</v>
      </c>
      <c r="E30" s="280">
        <v>667.12</v>
      </c>
      <c r="F30" s="280">
        <f t="shared" si="0"/>
        <v>667.12</v>
      </c>
    </row>
    <row r="31" spans="1:6" ht="18">
      <c r="A31" s="190">
        <v>28</v>
      </c>
      <c r="B31" s="190">
        <f t="shared" si="1"/>
        <v>26</v>
      </c>
      <c r="C31" s="895" t="s">
        <v>1213</v>
      </c>
      <c r="D31" s="666" t="s">
        <v>2730</v>
      </c>
      <c r="E31" s="280">
        <v>1483.02</v>
      </c>
      <c r="F31" s="280">
        <f t="shared" si="0"/>
        <v>1483.02</v>
      </c>
    </row>
    <row r="32" spans="1:6" ht="18">
      <c r="A32" s="190">
        <v>29</v>
      </c>
      <c r="B32" s="190">
        <f t="shared" si="1"/>
        <v>27</v>
      </c>
      <c r="C32" s="895" t="s">
        <v>1214</v>
      </c>
      <c r="D32" s="666" t="s">
        <v>2730</v>
      </c>
      <c r="E32" s="280">
        <v>1483.02</v>
      </c>
      <c r="F32" s="280">
        <v>1412.4</v>
      </c>
    </row>
    <row r="33" spans="1:6" ht="18">
      <c r="A33" s="190">
        <v>30</v>
      </c>
      <c r="B33" s="190">
        <f t="shared" si="1"/>
        <v>28</v>
      </c>
      <c r="C33" s="895" t="s">
        <v>689</v>
      </c>
      <c r="D33" s="666" t="s">
        <v>2730</v>
      </c>
      <c r="E33" s="280">
        <v>1836.12</v>
      </c>
      <c r="F33" s="280">
        <f t="shared" si="0"/>
        <v>1836.12</v>
      </c>
    </row>
    <row r="34" spans="1:6" ht="18">
      <c r="A34" s="190">
        <v>31</v>
      </c>
      <c r="B34" s="190">
        <f t="shared" si="1"/>
        <v>29</v>
      </c>
      <c r="C34" s="897" t="s">
        <v>690</v>
      </c>
      <c r="D34" s="666" t="s">
        <v>2730</v>
      </c>
      <c r="E34" s="280">
        <v>1906.74</v>
      </c>
      <c r="F34" s="280">
        <f t="shared" si="0"/>
        <v>1906.74</v>
      </c>
    </row>
    <row r="35" spans="1:6" ht="18">
      <c r="A35" s="190">
        <v>32</v>
      </c>
      <c r="B35" s="190">
        <f t="shared" si="1"/>
        <v>30</v>
      </c>
      <c r="C35" s="895" t="s">
        <v>3148</v>
      </c>
      <c r="D35" s="666" t="s">
        <v>2730</v>
      </c>
      <c r="E35" s="280">
        <v>1730.19</v>
      </c>
      <c r="F35" s="280">
        <f t="shared" si="0"/>
        <v>1730.19</v>
      </c>
    </row>
    <row r="36" spans="1:6" ht="18">
      <c r="A36" s="190">
        <v>33</v>
      </c>
      <c r="B36" s="190">
        <f t="shared" si="1"/>
        <v>31</v>
      </c>
      <c r="C36" s="895" t="s">
        <v>3149</v>
      </c>
      <c r="D36" s="666" t="s">
        <v>2730</v>
      </c>
      <c r="E36" s="280">
        <v>1730.19</v>
      </c>
      <c r="F36" s="280">
        <f t="shared" si="0"/>
        <v>1730.19</v>
      </c>
    </row>
    <row r="37" spans="1:6" ht="18">
      <c r="A37" s="190">
        <v>34</v>
      </c>
      <c r="B37" s="190">
        <f t="shared" si="1"/>
        <v>32</v>
      </c>
      <c r="C37" s="895" t="s">
        <v>2268</v>
      </c>
      <c r="D37" s="666" t="s">
        <v>2730</v>
      </c>
      <c r="E37" s="280">
        <v>1730.19</v>
      </c>
      <c r="F37" s="280">
        <f t="shared" si="0"/>
        <v>1730.19</v>
      </c>
    </row>
    <row r="38" spans="1:6" ht="18">
      <c r="A38" s="190">
        <v>35</v>
      </c>
      <c r="B38" s="190">
        <f t="shared" si="1"/>
        <v>33</v>
      </c>
      <c r="C38" s="895" t="s">
        <v>3956</v>
      </c>
      <c r="D38" s="666" t="s">
        <v>3682</v>
      </c>
      <c r="E38" s="879">
        <v>860.8</v>
      </c>
      <c r="F38" s="280">
        <f t="shared" si="0"/>
        <v>860.8</v>
      </c>
    </row>
    <row r="39" spans="1:6" ht="40.5" customHeight="1">
      <c r="A39" s="190">
        <v>36</v>
      </c>
      <c r="B39" s="190">
        <f t="shared" si="1"/>
        <v>34</v>
      </c>
      <c r="C39" s="898" t="s">
        <v>3962</v>
      </c>
      <c r="D39" s="666" t="s">
        <v>2730</v>
      </c>
      <c r="E39" s="878">
        <f>30*35.31</f>
        <v>1059.3000000000002</v>
      </c>
      <c r="F39" s="280">
        <f t="shared" si="0"/>
        <v>1059.3000000000002</v>
      </c>
    </row>
    <row r="40" spans="1:6" s="654" customFormat="1" ht="18">
      <c r="A40" s="190">
        <v>37</v>
      </c>
      <c r="B40" s="462">
        <f t="shared" si="1"/>
        <v>35</v>
      </c>
      <c r="C40" s="896" t="s">
        <v>3151</v>
      </c>
      <c r="D40" s="666" t="s">
        <v>2730</v>
      </c>
      <c r="E40" s="878">
        <v>5299.5</v>
      </c>
      <c r="F40" s="280">
        <f t="shared" si="0"/>
        <v>5299.5</v>
      </c>
    </row>
    <row r="41" spans="1:6" ht="17.25" customHeight="1">
      <c r="A41" s="190">
        <v>38</v>
      </c>
      <c r="B41" s="190">
        <f t="shared" si="1"/>
        <v>36</v>
      </c>
      <c r="C41" s="895" t="s">
        <v>557</v>
      </c>
      <c r="D41" s="666" t="s">
        <v>3682</v>
      </c>
      <c r="E41" s="878">
        <v>1345</v>
      </c>
      <c r="F41" s="280">
        <f t="shared" si="0"/>
        <v>1345</v>
      </c>
    </row>
    <row r="42" spans="1:6" ht="18">
      <c r="A42" s="190">
        <v>39</v>
      </c>
      <c r="B42" s="190">
        <f t="shared" si="1"/>
        <v>37</v>
      </c>
      <c r="C42" s="895" t="s">
        <v>432</v>
      </c>
      <c r="D42" s="666" t="s">
        <v>3682</v>
      </c>
      <c r="E42" s="878">
        <v>538</v>
      </c>
      <c r="F42" s="280">
        <f t="shared" si="0"/>
        <v>538</v>
      </c>
    </row>
    <row r="43" spans="1:6" ht="18">
      <c r="A43" s="190">
        <v>40</v>
      </c>
      <c r="B43" s="190">
        <f t="shared" si="1"/>
        <v>38</v>
      </c>
      <c r="C43" s="896" t="s">
        <v>536</v>
      </c>
      <c r="D43" s="666" t="s">
        <v>2730</v>
      </c>
      <c r="E43" s="878">
        <v>5649.6</v>
      </c>
      <c r="F43" s="280">
        <f t="shared" si="0"/>
        <v>5649.6</v>
      </c>
    </row>
    <row r="44" spans="1:6" ht="18">
      <c r="A44" s="190">
        <v>41</v>
      </c>
      <c r="B44" s="190">
        <f>+B43+1</f>
        <v>39</v>
      </c>
      <c r="C44" s="895" t="s">
        <v>3683</v>
      </c>
      <c r="D44" s="666" t="s">
        <v>2228</v>
      </c>
      <c r="E44" s="280">
        <v>80800</v>
      </c>
      <c r="F44" s="280">
        <f t="shared" si="0"/>
        <v>80800</v>
      </c>
    </row>
    <row r="45" spans="1:6" ht="18">
      <c r="A45" s="190">
        <v>42</v>
      </c>
      <c r="B45" s="190">
        <f t="shared" si="1"/>
        <v>40</v>
      </c>
      <c r="C45" s="895" t="s">
        <v>3684</v>
      </c>
      <c r="D45" s="666" t="s">
        <v>2228</v>
      </c>
      <c r="E45" s="280">
        <v>80800</v>
      </c>
      <c r="F45" s="280">
        <f t="shared" si="0"/>
        <v>80800</v>
      </c>
    </row>
    <row r="46" spans="1:6" s="654" customFormat="1" ht="18">
      <c r="A46" s="190">
        <v>43</v>
      </c>
      <c r="B46" s="462">
        <f t="shared" si="1"/>
        <v>41</v>
      </c>
      <c r="C46" s="896" t="s">
        <v>551</v>
      </c>
      <c r="D46" s="666" t="s">
        <v>2228</v>
      </c>
      <c r="E46" s="280">
        <v>80800</v>
      </c>
      <c r="F46" s="280">
        <f t="shared" si="0"/>
        <v>80800</v>
      </c>
    </row>
    <row r="47" spans="1:6" ht="18">
      <c r="A47" s="190">
        <v>44</v>
      </c>
      <c r="B47" s="190">
        <f t="shared" si="1"/>
        <v>42</v>
      </c>
      <c r="C47" s="896" t="s">
        <v>551</v>
      </c>
      <c r="D47" s="666" t="s">
        <v>3354</v>
      </c>
      <c r="E47" s="280">
        <f>E46/1000</f>
        <v>80.8</v>
      </c>
      <c r="F47" s="280">
        <f t="shared" si="0"/>
        <v>80.8</v>
      </c>
    </row>
    <row r="48" spans="1:6" ht="18">
      <c r="A48" s="190">
        <v>45</v>
      </c>
      <c r="B48" s="190">
        <f t="shared" si="1"/>
        <v>43</v>
      </c>
      <c r="C48" s="895" t="s">
        <v>1258</v>
      </c>
      <c r="D48" s="666" t="s">
        <v>3354</v>
      </c>
      <c r="E48" s="280">
        <v>93.86</v>
      </c>
      <c r="F48" s="280">
        <f t="shared" si="0"/>
        <v>93.86</v>
      </c>
    </row>
    <row r="49" spans="1:6" ht="18">
      <c r="A49" s="190">
        <v>46</v>
      </c>
      <c r="B49" s="190">
        <f t="shared" si="1"/>
        <v>44</v>
      </c>
      <c r="C49" s="895" t="s">
        <v>537</v>
      </c>
      <c r="D49" s="666" t="s">
        <v>3682</v>
      </c>
      <c r="E49" s="878">
        <v>105</v>
      </c>
      <c r="F49" s="280">
        <f t="shared" si="0"/>
        <v>105</v>
      </c>
    </row>
    <row r="50" spans="1:6" ht="18">
      <c r="A50" s="190">
        <v>47</v>
      </c>
      <c r="B50" s="190">
        <f t="shared" si="1"/>
        <v>45</v>
      </c>
      <c r="C50" s="895" t="s">
        <v>1793</v>
      </c>
      <c r="D50" s="666" t="s">
        <v>3682</v>
      </c>
      <c r="E50" s="878">
        <v>150</v>
      </c>
      <c r="F50" s="280">
        <f t="shared" si="0"/>
        <v>150</v>
      </c>
    </row>
    <row r="51" spans="1:6" ht="18">
      <c r="A51" s="190">
        <v>48</v>
      </c>
      <c r="B51" s="190">
        <f t="shared" si="1"/>
        <v>46</v>
      </c>
      <c r="C51" s="895" t="s">
        <v>1939</v>
      </c>
      <c r="D51" s="666" t="s">
        <v>3682</v>
      </c>
      <c r="E51" s="280">
        <v>66</v>
      </c>
      <c r="F51" s="280">
        <f t="shared" si="0"/>
        <v>66</v>
      </c>
    </row>
    <row r="52" spans="1:6" ht="18">
      <c r="A52" s="190">
        <v>49</v>
      </c>
      <c r="B52" s="190">
        <f t="shared" si="1"/>
        <v>47</v>
      </c>
      <c r="C52" s="895" t="s">
        <v>538</v>
      </c>
      <c r="D52" s="666" t="s">
        <v>2730</v>
      </c>
      <c r="E52" s="280">
        <v>120054</v>
      </c>
      <c r="F52" s="280">
        <f t="shared" si="0"/>
        <v>120054</v>
      </c>
    </row>
    <row r="53" spans="1:6" ht="18">
      <c r="A53" s="190">
        <v>50</v>
      </c>
      <c r="B53" s="190">
        <f t="shared" si="1"/>
        <v>48</v>
      </c>
      <c r="C53" s="895" t="s">
        <v>675</v>
      </c>
      <c r="D53" s="666" t="s">
        <v>2730</v>
      </c>
      <c r="E53" s="280">
        <v>27365.25</v>
      </c>
      <c r="F53" s="280">
        <f t="shared" si="0"/>
        <v>27365.25</v>
      </c>
    </row>
    <row r="54" spans="1:6" ht="18">
      <c r="A54" s="190">
        <v>51</v>
      </c>
      <c r="B54" s="190">
        <f t="shared" si="1"/>
        <v>49</v>
      </c>
      <c r="C54" s="895" t="s">
        <v>4314</v>
      </c>
      <c r="D54" s="666" t="s">
        <v>2730</v>
      </c>
      <c r="E54" s="280">
        <v>49434</v>
      </c>
      <c r="F54" s="280">
        <v>33721.050000000003</v>
      </c>
    </row>
    <row r="55" spans="1:6" ht="18">
      <c r="A55" s="190">
        <v>52</v>
      </c>
      <c r="B55" s="190">
        <f t="shared" si="1"/>
        <v>50</v>
      </c>
      <c r="C55" s="895" t="s">
        <v>530</v>
      </c>
      <c r="D55" s="666" t="s">
        <v>2730</v>
      </c>
      <c r="E55" s="878">
        <v>126056.7</v>
      </c>
      <c r="F55" s="280">
        <f t="shared" si="0"/>
        <v>126056.7</v>
      </c>
    </row>
    <row r="56" spans="1:6" ht="18">
      <c r="A56" s="190">
        <v>53</v>
      </c>
      <c r="B56" s="190">
        <f t="shared" si="1"/>
        <v>51</v>
      </c>
      <c r="C56" s="896" t="s">
        <v>2441</v>
      </c>
      <c r="D56" s="666" t="s">
        <v>3682</v>
      </c>
      <c r="E56" s="878">
        <v>1255.33</v>
      </c>
      <c r="F56" s="280">
        <f t="shared" si="0"/>
        <v>1255.33</v>
      </c>
    </row>
    <row r="57" spans="1:6" ht="18">
      <c r="A57" s="190">
        <v>54</v>
      </c>
      <c r="B57" s="190">
        <f t="shared" si="1"/>
        <v>52</v>
      </c>
      <c r="C57" s="895" t="s">
        <v>1105</v>
      </c>
      <c r="D57" s="936" t="s">
        <v>3685</v>
      </c>
      <c r="E57" s="879">
        <v>40</v>
      </c>
      <c r="F57" s="280">
        <f t="shared" si="0"/>
        <v>40</v>
      </c>
    </row>
    <row r="58" spans="1:6" ht="18">
      <c r="A58" s="190">
        <v>55</v>
      </c>
      <c r="B58" s="190">
        <f t="shared" si="1"/>
        <v>53</v>
      </c>
      <c r="C58" s="895" t="s">
        <v>2272</v>
      </c>
      <c r="D58" s="666" t="s">
        <v>3354</v>
      </c>
      <c r="E58" s="878">
        <v>99</v>
      </c>
      <c r="F58" s="280">
        <f t="shared" si="0"/>
        <v>99</v>
      </c>
    </row>
    <row r="59" spans="1:6" ht="18">
      <c r="A59" s="190">
        <v>56</v>
      </c>
      <c r="B59" s="190">
        <f t="shared" si="1"/>
        <v>54</v>
      </c>
      <c r="C59" s="895" t="s">
        <v>3940</v>
      </c>
      <c r="D59" s="666" t="s">
        <v>2732</v>
      </c>
      <c r="E59" s="878">
        <v>1.87</v>
      </c>
      <c r="F59" s="280">
        <f t="shared" si="0"/>
        <v>1.87</v>
      </c>
    </row>
    <row r="60" spans="1:6" ht="18">
      <c r="A60" s="190">
        <v>57</v>
      </c>
      <c r="B60" s="190">
        <f t="shared" si="1"/>
        <v>55</v>
      </c>
      <c r="C60" s="895" t="s">
        <v>2049</v>
      </c>
      <c r="D60" s="666" t="s">
        <v>2732</v>
      </c>
      <c r="E60" s="280">
        <v>15.71</v>
      </c>
      <c r="F60" s="280">
        <f t="shared" si="0"/>
        <v>15.71</v>
      </c>
    </row>
    <row r="61" spans="1:6" ht="18">
      <c r="A61" s="190">
        <v>58</v>
      </c>
      <c r="B61" s="190">
        <f t="shared" si="1"/>
        <v>56</v>
      </c>
      <c r="C61" s="895" t="s">
        <v>218</v>
      </c>
      <c r="D61" s="666" t="s">
        <v>2732</v>
      </c>
      <c r="E61" s="280">
        <v>26</v>
      </c>
      <c r="F61" s="280">
        <f t="shared" si="0"/>
        <v>26</v>
      </c>
    </row>
    <row r="62" spans="1:6" ht="18">
      <c r="A62" s="190">
        <v>59</v>
      </c>
      <c r="B62" s="190">
        <f t="shared" si="1"/>
        <v>57</v>
      </c>
      <c r="C62" s="895" t="s">
        <v>219</v>
      </c>
      <c r="D62" s="666" t="s">
        <v>2732</v>
      </c>
      <c r="E62" s="280">
        <v>14</v>
      </c>
      <c r="F62" s="280">
        <f t="shared" si="0"/>
        <v>14</v>
      </c>
    </row>
    <row r="63" spans="1:6" ht="18">
      <c r="A63" s="190">
        <v>60</v>
      </c>
      <c r="B63" s="190">
        <f t="shared" si="1"/>
        <v>58</v>
      </c>
      <c r="C63" s="895" t="s">
        <v>220</v>
      </c>
      <c r="D63" s="666" t="s">
        <v>2732</v>
      </c>
      <c r="E63" s="280">
        <v>35</v>
      </c>
      <c r="F63" s="280">
        <f t="shared" si="0"/>
        <v>35</v>
      </c>
    </row>
    <row r="64" spans="1:6" ht="18">
      <c r="A64" s="190">
        <v>61</v>
      </c>
      <c r="B64" s="190">
        <f t="shared" si="1"/>
        <v>59</v>
      </c>
      <c r="C64" s="895" t="s">
        <v>641</v>
      </c>
      <c r="D64" s="666" t="s">
        <v>2732</v>
      </c>
      <c r="E64" s="280">
        <v>59</v>
      </c>
      <c r="F64" s="280">
        <f t="shared" si="0"/>
        <v>59</v>
      </c>
    </row>
    <row r="65" spans="1:6" ht="18">
      <c r="A65" s="190">
        <v>62</v>
      </c>
      <c r="B65" s="190">
        <f t="shared" si="1"/>
        <v>60</v>
      </c>
      <c r="C65" s="895" t="s">
        <v>3144</v>
      </c>
      <c r="D65" s="666" t="s">
        <v>2732</v>
      </c>
      <c r="E65" s="280">
        <v>94</v>
      </c>
      <c r="F65" s="280">
        <f t="shared" si="0"/>
        <v>94</v>
      </c>
    </row>
    <row r="66" spans="1:6" ht="18">
      <c r="A66" s="190">
        <v>63</v>
      </c>
      <c r="B66" s="190">
        <f t="shared" si="1"/>
        <v>61</v>
      </c>
      <c r="C66" s="895" t="s">
        <v>3145</v>
      </c>
      <c r="D66" s="666" t="s">
        <v>2732</v>
      </c>
      <c r="E66" s="280">
        <v>1298</v>
      </c>
      <c r="F66" s="280">
        <f t="shared" si="0"/>
        <v>1298</v>
      </c>
    </row>
    <row r="67" spans="1:6" ht="18">
      <c r="A67" s="190">
        <v>64</v>
      </c>
      <c r="B67" s="190">
        <f t="shared" si="1"/>
        <v>62</v>
      </c>
      <c r="C67" s="895" t="s">
        <v>213</v>
      </c>
      <c r="D67" s="666" t="s">
        <v>2732</v>
      </c>
      <c r="E67" s="280">
        <v>525</v>
      </c>
      <c r="F67" s="280">
        <f t="shared" si="0"/>
        <v>525</v>
      </c>
    </row>
    <row r="68" spans="1:6" ht="18">
      <c r="A68" s="190">
        <v>65</v>
      </c>
      <c r="B68" s="190">
        <f t="shared" si="1"/>
        <v>63</v>
      </c>
      <c r="C68" s="895" t="s">
        <v>3832</v>
      </c>
      <c r="D68" s="666" t="s">
        <v>3682</v>
      </c>
      <c r="E68" s="280">
        <f>14.5*10.76</f>
        <v>156.02000000000001</v>
      </c>
      <c r="F68" s="280">
        <f t="shared" si="0"/>
        <v>156.02000000000001</v>
      </c>
    </row>
    <row r="69" spans="1:6" ht="18">
      <c r="A69" s="190">
        <v>66</v>
      </c>
      <c r="B69" s="190"/>
      <c r="C69" s="895" t="s">
        <v>3836</v>
      </c>
      <c r="D69" s="666" t="s">
        <v>3682</v>
      </c>
      <c r="E69" s="280">
        <f>18*10.76</f>
        <v>193.68</v>
      </c>
      <c r="F69" s="280">
        <f t="shared" ref="F69" si="2">E69</f>
        <v>193.68</v>
      </c>
    </row>
    <row r="70" spans="1:6" ht="18">
      <c r="A70" s="190">
        <v>67</v>
      </c>
      <c r="B70" s="190">
        <f>+B68+1</f>
        <v>64</v>
      </c>
      <c r="C70" s="895" t="s">
        <v>3147</v>
      </c>
      <c r="D70" s="666" t="s">
        <v>3682</v>
      </c>
      <c r="E70" s="280">
        <v>317.42</v>
      </c>
      <c r="F70" s="280">
        <f t="shared" ref="F70:F142" si="3">E70</f>
        <v>317.42</v>
      </c>
    </row>
    <row r="71" spans="1:6" ht="18">
      <c r="A71" s="190">
        <v>68</v>
      </c>
      <c r="B71" s="190">
        <f t="shared" si="1"/>
        <v>65</v>
      </c>
      <c r="C71" s="895" t="s">
        <v>1185</v>
      </c>
      <c r="D71" s="666" t="s">
        <v>3682</v>
      </c>
      <c r="E71" s="280">
        <v>349.7</v>
      </c>
      <c r="F71" s="280">
        <f t="shared" si="3"/>
        <v>349.7</v>
      </c>
    </row>
    <row r="72" spans="1:6" ht="18">
      <c r="A72" s="190">
        <v>69</v>
      </c>
      <c r="B72" s="190">
        <f t="shared" ref="B72:B148" si="4">+B71+1</f>
        <v>66</v>
      </c>
      <c r="C72" s="895" t="s">
        <v>3139</v>
      </c>
      <c r="D72" s="666" t="s">
        <v>3682</v>
      </c>
      <c r="E72" s="280">
        <v>521.86</v>
      </c>
      <c r="F72" s="280">
        <f t="shared" si="3"/>
        <v>521.86</v>
      </c>
    </row>
    <row r="73" spans="1:6" ht="18">
      <c r="A73" s="190">
        <v>70</v>
      </c>
      <c r="B73" s="190">
        <f t="shared" si="4"/>
        <v>67</v>
      </c>
      <c r="C73" s="895" t="s">
        <v>3140</v>
      </c>
      <c r="D73" s="666" t="s">
        <v>3682</v>
      </c>
      <c r="E73" s="280">
        <v>763.96</v>
      </c>
      <c r="F73" s="280">
        <f t="shared" si="3"/>
        <v>763.96</v>
      </c>
    </row>
    <row r="74" spans="1:6" ht="18">
      <c r="A74" s="190">
        <v>71</v>
      </c>
      <c r="B74" s="190">
        <f t="shared" si="4"/>
        <v>68</v>
      </c>
      <c r="C74" s="895" t="s">
        <v>3141</v>
      </c>
      <c r="D74" s="666" t="s">
        <v>3682</v>
      </c>
      <c r="E74" s="280">
        <v>451.92</v>
      </c>
      <c r="F74" s="280">
        <f t="shared" si="3"/>
        <v>451.92</v>
      </c>
    </row>
    <row r="75" spans="1:6" ht="18">
      <c r="A75" s="190">
        <v>72</v>
      </c>
      <c r="B75" s="190">
        <f t="shared" si="4"/>
        <v>69</v>
      </c>
      <c r="C75" s="895" t="s">
        <v>1186</v>
      </c>
      <c r="D75" s="666" t="s">
        <v>3682</v>
      </c>
      <c r="E75" s="280">
        <v>494.96</v>
      </c>
      <c r="F75" s="280">
        <f t="shared" si="3"/>
        <v>494.96</v>
      </c>
    </row>
    <row r="76" spans="1:6" ht="18">
      <c r="A76" s="190">
        <v>73</v>
      </c>
      <c r="B76" s="190">
        <f t="shared" si="4"/>
        <v>70</v>
      </c>
      <c r="C76" s="895" t="s">
        <v>1187</v>
      </c>
      <c r="D76" s="666" t="s">
        <v>3682</v>
      </c>
      <c r="E76" s="280">
        <v>624.08000000000004</v>
      </c>
      <c r="F76" s="280">
        <f t="shared" si="3"/>
        <v>624.08000000000004</v>
      </c>
    </row>
    <row r="77" spans="1:6" ht="18">
      <c r="A77" s="190">
        <v>74</v>
      </c>
      <c r="B77" s="190">
        <f t="shared" si="4"/>
        <v>71</v>
      </c>
      <c r="C77" s="895" t="s">
        <v>2369</v>
      </c>
      <c r="D77" s="666" t="s">
        <v>3682</v>
      </c>
      <c r="E77" s="280">
        <v>1022.2</v>
      </c>
      <c r="F77" s="280">
        <f t="shared" si="3"/>
        <v>1022.2</v>
      </c>
    </row>
    <row r="78" spans="1:6" ht="18">
      <c r="A78" s="190">
        <v>75</v>
      </c>
      <c r="B78" s="190">
        <f t="shared" si="4"/>
        <v>72</v>
      </c>
      <c r="C78" s="895" t="s">
        <v>4036</v>
      </c>
      <c r="D78" s="666" t="s">
        <v>3682</v>
      </c>
      <c r="E78" s="878">
        <v>131.13</v>
      </c>
      <c r="F78" s="280">
        <f t="shared" si="3"/>
        <v>131.13</v>
      </c>
    </row>
    <row r="79" spans="1:6" ht="18">
      <c r="A79" s="190">
        <v>76</v>
      </c>
      <c r="B79" s="190">
        <f t="shared" si="4"/>
        <v>73</v>
      </c>
      <c r="C79" s="895" t="s">
        <v>3142</v>
      </c>
      <c r="D79" s="666" t="s">
        <v>3682</v>
      </c>
      <c r="E79" s="878">
        <v>645.6</v>
      </c>
      <c r="F79" s="280">
        <f t="shared" si="3"/>
        <v>645.6</v>
      </c>
    </row>
    <row r="80" spans="1:6" ht="18">
      <c r="A80" s="190">
        <v>77</v>
      </c>
      <c r="B80" s="190">
        <f t="shared" si="4"/>
        <v>74</v>
      </c>
      <c r="C80" s="895" t="s">
        <v>4037</v>
      </c>
      <c r="D80" s="666" t="s">
        <v>3682</v>
      </c>
      <c r="E80" s="878">
        <v>624.08000000000004</v>
      </c>
      <c r="F80" s="280">
        <f t="shared" si="3"/>
        <v>624.08000000000004</v>
      </c>
    </row>
    <row r="81" spans="1:6" ht="18">
      <c r="A81" s="190">
        <v>78</v>
      </c>
      <c r="B81" s="190">
        <f t="shared" si="4"/>
        <v>75</v>
      </c>
      <c r="C81" s="895" t="s">
        <v>4038</v>
      </c>
      <c r="D81" s="666" t="s">
        <v>3682</v>
      </c>
      <c r="E81" s="878">
        <v>306.66000000000003</v>
      </c>
      <c r="F81" s="280">
        <f t="shared" si="3"/>
        <v>306.66000000000003</v>
      </c>
    </row>
    <row r="82" spans="1:6" ht="18">
      <c r="A82" s="190">
        <v>79</v>
      </c>
      <c r="B82" s="190">
        <f t="shared" si="4"/>
        <v>76</v>
      </c>
      <c r="C82" s="895" t="s">
        <v>3143</v>
      </c>
      <c r="D82" s="666" t="s">
        <v>3682</v>
      </c>
      <c r="E82" s="878">
        <v>376.6</v>
      </c>
      <c r="F82" s="280">
        <f t="shared" si="3"/>
        <v>376.6</v>
      </c>
    </row>
    <row r="83" spans="1:6" ht="18">
      <c r="A83" s="190">
        <v>80</v>
      </c>
      <c r="B83" s="190">
        <f t="shared" si="4"/>
        <v>77</v>
      </c>
      <c r="C83" s="895" t="s">
        <v>4039</v>
      </c>
      <c r="D83" s="666" t="s">
        <v>3682</v>
      </c>
      <c r="E83" s="878">
        <v>902.65</v>
      </c>
      <c r="F83" s="280">
        <f t="shared" si="3"/>
        <v>902.65</v>
      </c>
    </row>
    <row r="84" spans="1:6" ht="18">
      <c r="A84" s="190">
        <v>81</v>
      </c>
      <c r="B84" s="190">
        <f t="shared" si="4"/>
        <v>78</v>
      </c>
      <c r="C84" s="895" t="s">
        <v>3146</v>
      </c>
      <c r="D84" s="666" t="s">
        <v>3682</v>
      </c>
      <c r="E84" s="878">
        <v>408.88</v>
      </c>
      <c r="F84" s="280">
        <f t="shared" si="3"/>
        <v>408.88</v>
      </c>
    </row>
    <row r="85" spans="1:6" ht="18">
      <c r="A85" s="190">
        <v>82</v>
      </c>
      <c r="B85" s="190">
        <f t="shared" si="4"/>
        <v>79</v>
      </c>
      <c r="C85" s="895" t="s">
        <v>214</v>
      </c>
      <c r="D85" s="666" t="s">
        <v>3682</v>
      </c>
      <c r="E85" s="878">
        <v>516.48</v>
      </c>
      <c r="F85" s="280">
        <f t="shared" si="3"/>
        <v>516.48</v>
      </c>
    </row>
    <row r="86" spans="1:6" ht="18">
      <c r="A86" s="190">
        <v>83</v>
      </c>
      <c r="B86" s="190">
        <f t="shared" si="4"/>
        <v>80</v>
      </c>
      <c r="C86" s="895" t="s">
        <v>215</v>
      </c>
      <c r="D86" s="666" t="s">
        <v>3682</v>
      </c>
      <c r="E86" s="878">
        <v>699.4</v>
      </c>
      <c r="F86" s="280">
        <f t="shared" si="3"/>
        <v>699.4</v>
      </c>
    </row>
    <row r="87" spans="1:6" ht="18">
      <c r="A87" s="190">
        <v>84</v>
      </c>
      <c r="B87" s="190">
        <f t="shared" si="4"/>
        <v>81</v>
      </c>
      <c r="C87" s="895" t="s">
        <v>216</v>
      </c>
      <c r="D87" s="666" t="s">
        <v>3682</v>
      </c>
      <c r="E87" s="878">
        <v>807</v>
      </c>
      <c r="F87" s="280">
        <f t="shared" si="3"/>
        <v>807</v>
      </c>
    </row>
    <row r="88" spans="1:6" ht="18">
      <c r="A88" s="190">
        <v>85</v>
      </c>
      <c r="B88" s="190">
        <f t="shared" si="4"/>
        <v>82</v>
      </c>
      <c r="C88" s="895" t="s">
        <v>539</v>
      </c>
      <c r="D88" s="666" t="s">
        <v>2732</v>
      </c>
      <c r="E88" s="878">
        <v>35</v>
      </c>
      <c r="F88" s="280">
        <f t="shared" si="3"/>
        <v>35</v>
      </c>
    </row>
    <row r="89" spans="1:6" ht="18">
      <c r="A89" s="190">
        <v>86</v>
      </c>
      <c r="B89" s="190">
        <f t="shared" si="4"/>
        <v>83</v>
      </c>
      <c r="C89" s="895" t="s">
        <v>1266</v>
      </c>
      <c r="D89" s="666" t="s">
        <v>2732</v>
      </c>
      <c r="E89" s="878">
        <v>24</v>
      </c>
      <c r="F89" s="280">
        <f t="shared" si="3"/>
        <v>24</v>
      </c>
    </row>
    <row r="90" spans="1:6" ht="18">
      <c r="A90" s="190">
        <v>87</v>
      </c>
      <c r="B90" s="190">
        <f t="shared" si="4"/>
        <v>84</v>
      </c>
      <c r="C90" s="895" t="s">
        <v>4326</v>
      </c>
      <c r="D90" s="666" t="s">
        <v>3354</v>
      </c>
      <c r="E90" s="878">
        <v>154</v>
      </c>
      <c r="F90" s="280">
        <f t="shared" si="3"/>
        <v>154</v>
      </c>
    </row>
    <row r="91" spans="1:6" ht="18">
      <c r="A91" s="190">
        <v>88</v>
      </c>
      <c r="B91" s="190">
        <f t="shared" si="4"/>
        <v>85</v>
      </c>
      <c r="C91" s="899" t="s">
        <v>540</v>
      </c>
      <c r="D91" s="937" t="s">
        <v>3354</v>
      </c>
      <c r="E91" s="880">
        <v>154</v>
      </c>
      <c r="F91" s="879">
        <f t="shared" si="3"/>
        <v>154</v>
      </c>
    </row>
    <row r="92" spans="1:6" ht="18">
      <c r="A92" s="190">
        <v>89</v>
      </c>
      <c r="B92" s="190">
        <f t="shared" si="4"/>
        <v>86</v>
      </c>
      <c r="C92" s="895" t="s">
        <v>3686</v>
      </c>
      <c r="D92" s="666" t="s">
        <v>3682</v>
      </c>
      <c r="E92" s="280">
        <v>457.59</v>
      </c>
      <c r="F92" s="280">
        <f t="shared" si="3"/>
        <v>457.59</v>
      </c>
    </row>
    <row r="93" spans="1:6" ht="18">
      <c r="A93" s="190">
        <v>90</v>
      </c>
      <c r="B93" s="190">
        <f t="shared" si="4"/>
        <v>87</v>
      </c>
      <c r="C93" s="895" t="s">
        <v>3687</v>
      </c>
      <c r="D93" s="666" t="s">
        <v>3682</v>
      </c>
      <c r="E93" s="280">
        <v>417.43</v>
      </c>
      <c r="F93" s="280">
        <f t="shared" si="3"/>
        <v>417.43</v>
      </c>
    </row>
    <row r="94" spans="1:6" ht="18">
      <c r="A94" s="190">
        <v>91</v>
      </c>
      <c r="B94" s="190">
        <f t="shared" si="4"/>
        <v>88</v>
      </c>
      <c r="C94" s="895" t="s">
        <v>3688</v>
      </c>
      <c r="D94" s="666" t="s">
        <v>3682</v>
      </c>
      <c r="E94" s="280">
        <v>381.8</v>
      </c>
      <c r="F94" s="280">
        <f t="shared" si="3"/>
        <v>381.8</v>
      </c>
    </row>
    <row r="95" spans="1:6" ht="18">
      <c r="A95" s="190">
        <v>92</v>
      </c>
      <c r="B95" s="190">
        <f t="shared" si="4"/>
        <v>89</v>
      </c>
      <c r="C95" s="899" t="s">
        <v>3679</v>
      </c>
      <c r="D95" s="938" t="s">
        <v>3682</v>
      </c>
      <c r="E95" s="879"/>
      <c r="F95" s="879"/>
    </row>
    <row r="96" spans="1:6" ht="18">
      <c r="A96" s="190">
        <v>93</v>
      </c>
      <c r="B96" s="190">
        <f t="shared" si="4"/>
        <v>90</v>
      </c>
      <c r="C96" s="897" t="s">
        <v>3689</v>
      </c>
      <c r="D96" s="666" t="s">
        <v>3682</v>
      </c>
      <c r="E96" s="878">
        <v>404.63</v>
      </c>
      <c r="F96" s="878">
        <f t="shared" si="3"/>
        <v>404.63</v>
      </c>
    </row>
    <row r="97" spans="1:6" ht="18">
      <c r="A97" s="190">
        <v>94</v>
      </c>
      <c r="B97" s="190"/>
      <c r="C97" s="897" t="s">
        <v>3694</v>
      </c>
      <c r="D97" s="666" t="s">
        <v>2938</v>
      </c>
      <c r="E97" s="878">
        <v>246.36</v>
      </c>
      <c r="F97" s="878">
        <f>E97</f>
        <v>246.36</v>
      </c>
    </row>
    <row r="98" spans="1:6" ht="18">
      <c r="A98" s="190">
        <v>95</v>
      </c>
      <c r="B98" s="190">
        <f>+B96+1</f>
        <v>91</v>
      </c>
      <c r="C98" s="897" t="s">
        <v>3692</v>
      </c>
      <c r="D98" s="666" t="s">
        <v>3682</v>
      </c>
      <c r="E98" s="878">
        <v>367.49</v>
      </c>
      <c r="F98" s="878">
        <f t="shared" si="3"/>
        <v>367.49</v>
      </c>
    </row>
    <row r="99" spans="1:6" ht="18">
      <c r="A99" s="190">
        <v>96</v>
      </c>
      <c r="B99" s="190"/>
      <c r="C99" s="897" t="s">
        <v>3695</v>
      </c>
      <c r="D99" s="666" t="s">
        <v>2938</v>
      </c>
      <c r="E99" s="878">
        <v>224.04</v>
      </c>
      <c r="F99" s="878">
        <f t="shared" si="3"/>
        <v>224.04</v>
      </c>
    </row>
    <row r="100" spans="1:6" ht="18">
      <c r="A100" s="190">
        <v>97</v>
      </c>
      <c r="B100" s="190">
        <f>+B98+1</f>
        <v>92</v>
      </c>
      <c r="C100" s="897" t="s">
        <v>3693</v>
      </c>
      <c r="D100" s="666" t="s">
        <v>3682</v>
      </c>
      <c r="E100" s="879">
        <v>508.28</v>
      </c>
      <c r="F100" s="879">
        <f>E100</f>
        <v>508.28</v>
      </c>
    </row>
    <row r="101" spans="1:6" ht="18">
      <c r="A101" s="190">
        <v>98</v>
      </c>
      <c r="B101" s="190">
        <f t="shared" si="4"/>
        <v>93</v>
      </c>
      <c r="C101" s="895" t="s">
        <v>1575</v>
      </c>
      <c r="D101" s="666" t="s">
        <v>3682</v>
      </c>
      <c r="E101" s="667">
        <v>165.43</v>
      </c>
      <c r="F101" s="879">
        <f t="shared" si="3"/>
        <v>165.43</v>
      </c>
    </row>
    <row r="102" spans="1:6" ht="18">
      <c r="A102" s="190">
        <v>99</v>
      </c>
      <c r="B102" s="190">
        <f t="shared" si="4"/>
        <v>94</v>
      </c>
      <c r="C102" s="895" t="s">
        <v>1574</v>
      </c>
      <c r="D102" s="666" t="s">
        <v>3682</v>
      </c>
      <c r="E102" s="879">
        <v>211.97</v>
      </c>
      <c r="F102" s="879">
        <f t="shared" si="3"/>
        <v>211.97</v>
      </c>
    </row>
    <row r="103" spans="1:6" ht="18">
      <c r="A103" s="190">
        <v>100</v>
      </c>
      <c r="B103" s="190">
        <f t="shared" si="4"/>
        <v>95</v>
      </c>
      <c r="C103" s="895" t="s">
        <v>3809</v>
      </c>
      <c r="D103" s="666" t="s">
        <v>3682</v>
      </c>
      <c r="E103" s="280">
        <f>1443.36/32*10.76</f>
        <v>485.32979999999998</v>
      </c>
      <c r="F103" s="280">
        <f t="shared" si="3"/>
        <v>485.32979999999998</v>
      </c>
    </row>
    <row r="104" spans="1:6" ht="18">
      <c r="A104" s="190">
        <v>101</v>
      </c>
      <c r="B104" s="190"/>
      <c r="C104" s="895" t="s">
        <v>3807</v>
      </c>
      <c r="D104" s="666" t="s">
        <v>2938</v>
      </c>
      <c r="E104" s="280">
        <f>+E103*0.6</f>
        <v>291.19788</v>
      </c>
      <c r="F104" s="280">
        <f t="shared" si="3"/>
        <v>291.19788</v>
      </c>
    </row>
    <row r="105" spans="1:6" ht="18">
      <c r="A105" s="190">
        <v>102</v>
      </c>
      <c r="B105" s="190">
        <f t="shared" si="4"/>
        <v>1</v>
      </c>
      <c r="C105" s="895" t="s">
        <v>3810</v>
      </c>
      <c r="D105" s="666" t="s">
        <v>3682</v>
      </c>
      <c r="E105" s="280">
        <f>1331.86/32*10.76</f>
        <v>447.83792499999998</v>
      </c>
      <c r="F105" s="280">
        <f t="shared" ref="F105:F106" si="5">E105</f>
        <v>447.83792499999998</v>
      </c>
    </row>
    <row r="106" spans="1:6" ht="18">
      <c r="A106" s="190">
        <v>103</v>
      </c>
      <c r="B106" s="190"/>
      <c r="C106" s="895" t="s">
        <v>3808</v>
      </c>
      <c r="D106" s="666" t="s">
        <v>2938</v>
      </c>
      <c r="E106" s="280">
        <f>+E105*0.6</f>
        <v>268.70275499999997</v>
      </c>
      <c r="F106" s="280">
        <f t="shared" si="5"/>
        <v>268.70275499999997</v>
      </c>
    </row>
    <row r="107" spans="1:6" ht="18">
      <c r="A107" s="190">
        <v>104</v>
      </c>
      <c r="B107" s="190">
        <f>+B103+1</f>
        <v>96</v>
      </c>
      <c r="C107" s="895" t="s">
        <v>1847</v>
      </c>
      <c r="D107" s="666" t="s">
        <v>3682</v>
      </c>
      <c r="E107" s="280">
        <v>877.81</v>
      </c>
      <c r="F107" s="280">
        <f t="shared" si="3"/>
        <v>877.81</v>
      </c>
    </row>
    <row r="108" spans="1:6" ht="18">
      <c r="A108" s="190">
        <v>105</v>
      </c>
      <c r="B108" s="190">
        <f t="shared" si="4"/>
        <v>97</v>
      </c>
      <c r="C108" s="895" t="s">
        <v>2494</v>
      </c>
      <c r="D108" s="666" t="s">
        <v>3682</v>
      </c>
      <c r="E108" s="879">
        <v>750.85</v>
      </c>
      <c r="F108" s="879">
        <f t="shared" si="3"/>
        <v>750.85</v>
      </c>
    </row>
    <row r="109" spans="1:6" ht="18">
      <c r="A109" s="190">
        <v>106</v>
      </c>
      <c r="B109" s="190">
        <f t="shared" si="4"/>
        <v>98</v>
      </c>
      <c r="C109" s="895" t="s">
        <v>3941</v>
      </c>
      <c r="D109" s="666" t="s">
        <v>3682</v>
      </c>
      <c r="E109" s="879">
        <v>850.71</v>
      </c>
      <c r="F109" s="879">
        <f t="shared" si="3"/>
        <v>850.71</v>
      </c>
    </row>
    <row r="110" spans="1:6" ht="19.5" customHeight="1">
      <c r="A110" s="190">
        <v>107</v>
      </c>
      <c r="B110" s="190">
        <f t="shared" si="4"/>
        <v>99</v>
      </c>
      <c r="C110" s="895" t="s">
        <v>1079</v>
      </c>
      <c r="D110" s="666" t="s">
        <v>3682</v>
      </c>
      <c r="E110" s="280">
        <v>548.04999999999995</v>
      </c>
      <c r="F110" s="280">
        <f t="shared" si="3"/>
        <v>548.04999999999995</v>
      </c>
    </row>
    <row r="111" spans="1:6" ht="18">
      <c r="A111" s="190">
        <v>108</v>
      </c>
      <c r="B111" s="190">
        <f t="shared" si="4"/>
        <v>100</v>
      </c>
      <c r="C111" s="895" t="s">
        <v>2670</v>
      </c>
      <c r="D111" s="666" t="s">
        <v>3682</v>
      </c>
      <c r="E111" s="280">
        <v>566.6</v>
      </c>
      <c r="F111" s="280">
        <f t="shared" si="3"/>
        <v>566.6</v>
      </c>
    </row>
    <row r="112" spans="1:6" ht="18">
      <c r="A112" s="190">
        <v>109</v>
      </c>
      <c r="B112" s="190">
        <f t="shared" si="4"/>
        <v>101</v>
      </c>
      <c r="C112" s="895" t="s">
        <v>3394</v>
      </c>
      <c r="D112" s="666" t="s">
        <v>3682</v>
      </c>
      <c r="E112" s="280">
        <v>507.94</v>
      </c>
      <c r="F112" s="280">
        <f t="shared" si="3"/>
        <v>507.94</v>
      </c>
    </row>
    <row r="113" spans="1:6" ht="18">
      <c r="A113" s="190">
        <v>110</v>
      </c>
      <c r="B113" s="190">
        <f t="shared" si="4"/>
        <v>102</v>
      </c>
      <c r="C113" s="895" t="s">
        <v>441</v>
      </c>
      <c r="D113" s="666" t="s">
        <v>3682</v>
      </c>
      <c r="E113" s="280">
        <v>471.3</v>
      </c>
      <c r="F113" s="280">
        <f t="shared" si="3"/>
        <v>471.3</v>
      </c>
    </row>
    <row r="114" spans="1:6" ht="36">
      <c r="A114" s="190">
        <v>111</v>
      </c>
      <c r="B114" s="190">
        <f t="shared" si="4"/>
        <v>103</v>
      </c>
      <c r="C114" s="898" t="s">
        <v>3593</v>
      </c>
      <c r="D114" s="666"/>
      <c r="E114" s="280"/>
      <c r="F114" s="280"/>
    </row>
    <row r="115" spans="1:6" ht="17.25">
      <c r="A115" s="190">
        <v>112</v>
      </c>
      <c r="B115" s="190"/>
      <c r="C115" s="900" t="s">
        <v>3696</v>
      </c>
      <c r="D115" s="666" t="s">
        <v>3682</v>
      </c>
      <c r="E115" s="280">
        <v>1076</v>
      </c>
      <c r="F115" s="280">
        <f t="shared" si="3"/>
        <v>1076</v>
      </c>
    </row>
    <row r="116" spans="1:6" ht="17.25">
      <c r="A116" s="190">
        <v>113</v>
      </c>
      <c r="B116" s="190"/>
      <c r="C116" s="900" t="s">
        <v>3697</v>
      </c>
      <c r="D116" s="666" t="s">
        <v>3682</v>
      </c>
      <c r="E116" s="280">
        <v>1237.4000000000001</v>
      </c>
      <c r="F116" s="280">
        <f t="shared" si="3"/>
        <v>1237.4000000000001</v>
      </c>
    </row>
    <row r="117" spans="1:6" ht="24.75" customHeight="1">
      <c r="A117" s="190">
        <v>114</v>
      </c>
      <c r="B117" s="190">
        <f>+B114+1</f>
        <v>104</v>
      </c>
      <c r="C117" s="895" t="s">
        <v>3594</v>
      </c>
      <c r="D117" s="190"/>
      <c r="E117" s="190"/>
      <c r="F117" s="190"/>
    </row>
    <row r="118" spans="1:6" ht="17.25">
      <c r="A118" s="190">
        <v>115</v>
      </c>
      <c r="B118" s="190"/>
      <c r="C118" s="900" t="s">
        <v>3696</v>
      </c>
      <c r="D118" s="666" t="s">
        <v>3682</v>
      </c>
      <c r="E118" s="280">
        <v>1829.2</v>
      </c>
      <c r="F118" s="280">
        <f>E118</f>
        <v>1829.2</v>
      </c>
    </row>
    <row r="119" spans="1:6" ht="17.25">
      <c r="A119" s="190">
        <v>116</v>
      </c>
      <c r="B119" s="190"/>
      <c r="C119" s="900" t="s">
        <v>3697</v>
      </c>
      <c r="D119" s="666" t="s">
        <v>3682</v>
      </c>
      <c r="E119" s="190">
        <v>2152</v>
      </c>
      <c r="F119" s="280">
        <f>E119</f>
        <v>2152</v>
      </c>
    </row>
    <row r="120" spans="1:6" ht="18">
      <c r="A120" s="190">
        <v>117</v>
      </c>
      <c r="B120" s="190">
        <f>+B117+1</f>
        <v>105</v>
      </c>
      <c r="C120" s="895" t="s">
        <v>2903</v>
      </c>
      <c r="D120" s="666" t="s">
        <v>3682</v>
      </c>
      <c r="E120" s="879">
        <v>2474.8000000000002</v>
      </c>
      <c r="F120" s="879">
        <f t="shared" si="3"/>
        <v>2474.8000000000002</v>
      </c>
    </row>
    <row r="121" spans="1:6" ht="42.75" customHeight="1">
      <c r="A121" s="190">
        <v>118</v>
      </c>
      <c r="B121" s="190"/>
      <c r="C121" s="898" t="s">
        <v>3690</v>
      </c>
      <c r="D121" s="666" t="s">
        <v>2732</v>
      </c>
      <c r="E121" s="280">
        <v>55</v>
      </c>
      <c r="F121" s="280">
        <f t="shared" si="3"/>
        <v>55</v>
      </c>
    </row>
    <row r="122" spans="1:6" ht="18">
      <c r="A122" s="190">
        <v>119</v>
      </c>
      <c r="B122" s="191"/>
      <c r="C122" s="898" t="s">
        <v>3691</v>
      </c>
      <c r="D122" s="666" t="s">
        <v>2732</v>
      </c>
      <c r="E122" s="280">
        <v>5.5</v>
      </c>
      <c r="F122" s="280">
        <f t="shared" si="3"/>
        <v>5.5</v>
      </c>
    </row>
    <row r="123" spans="1:6" ht="18">
      <c r="A123" s="190">
        <v>120</v>
      </c>
      <c r="B123" s="191"/>
      <c r="C123" s="895" t="s">
        <v>134</v>
      </c>
      <c r="D123" s="666" t="s">
        <v>2732</v>
      </c>
      <c r="E123" s="280">
        <v>23</v>
      </c>
      <c r="F123" s="280">
        <f t="shared" si="3"/>
        <v>23</v>
      </c>
    </row>
    <row r="124" spans="1:6" ht="18">
      <c r="A124" s="190">
        <v>121</v>
      </c>
      <c r="B124" s="190">
        <f>+B120+1</f>
        <v>106</v>
      </c>
      <c r="C124" s="895" t="s">
        <v>133</v>
      </c>
      <c r="D124" s="666" t="s">
        <v>2732</v>
      </c>
      <c r="E124" s="280">
        <v>22</v>
      </c>
      <c r="F124" s="280">
        <f t="shared" si="3"/>
        <v>22</v>
      </c>
    </row>
    <row r="125" spans="1:6" ht="18">
      <c r="A125" s="190">
        <v>122</v>
      </c>
      <c r="B125" s="190">
        <f>+B124+1</f>
        <v>107</v>
      </c>
      <c r="C125" s="895" t="s">
        <v>2518</v>
      </c>
      <c r="D125" s="666" t="s">
        <v>2732</v>
      </c>
      <c r="E125" s="280">
        <v>7.85</v>
      </c>
      <c r="F125" s="280">
        <f t="shared" si="3"/>
        <v>7.85</v>
      </c>
    </row>
    <row r="126" spans="1:6" ht="18">
      <c r="A126" s="190">
        <v>123</v>
      </c>
      <c r="B126" s="190">
        <f t="shared" si="4"/>
        <v>108</v>
      </c>
      <c r="C126" s="895" t="s">
        <v>1263</v>
      </c>
      <c r="D126" s="666" t="s">
        <v>2732</v>
      </c>
      <c r="E126" s="280">
        <v>3</v>
      </c>
      <c r="F126" s="280">
        <f t="shared" si="3"/>
        <v>3</v>
      </c>
    </row>
    <row r="127" spans="1:6" ht="18">
      <c r="A127" s="190">
        <v>124</v>
      </c>
      <c r="B127" s="190">
        <f t="shared" si="4"/>
        <v>109</v>
      </c>
      <c r="C127" s="895" t="s">
        <v>1264</v>
      </c>
      <c r="D127" s="666" t="s">
        <v>2732</v>
      </c>
      <c r="E127" s="879">
        <v>290.52</v>
      </c>
      <c r="F127" s="280">
        <f t="shared" si="3"/>
        <v>290.52</v>
      </c>
    </row>
    <row r="128" spans="1:6" ht="18">
      <c r="A128" s="190">
        <v>125</v>
      </c>
      <c r="B128" s="190">
        <f t="shared" si="4"/>
        <v>110</v>
      </c>
      <c r="C128" s="895" t="s">
        <v>541</v>
      </c>
      <c r="D128" s="666" t="s">
        <v>3682</v>
      </c>
      <c r="E128" s="878">
        <v>16</v>
      </c>
      <c r="F128" s="280">
        <f t="shared" si="3"/>
        <v>16</v>
      </c>
    </row>
    <row r="129" spans="1:6" ht="18">
      <c r="A129" s="190">
        <v>126</v>
      </c>
      <c r="B129" s="190">
        <f t="shared" si="4"/>
        <v>111</v>
      </c>
      <c r="C129" s="895" t="s">
        <v>1144</v>
      </c>
      <c r="D129" s="666" t="s">
        <v>3682</v>
      </c>
      <c r="E129" s="280">
        <v>624.08000000000004</v>
      </c>
      <c r="F129" s="280">
        <f t="shared" si="3"/>
        <v>624.08000000000004</v>
      </c>
    </row>
    <row r="130" spans="1:6" ht="18">
      <c r="A130" s="190">
        <v>127</v>
      </c>
      <c r="B130" s="190">
        <f t="shared" si="4"/>
        <v>112</v>
      </c>
      <c r="C130" s="895" t="s">
        <v>4042</v>
      </c>
      <c r="D130" s="666" t="s">
        <v>3682</v>
      </c>
      <c r="E130" s="280">
        <v>1614</v>
      </c>
      <c r="F130" s="280">
        <f t="shared" si="3"/>
        <v>1614</v>
      </c>
    </row>
    <row r="131" spans="1:6" ht="18">
      <c r="A131" s="190">
        <v>128</v>
      </c>
      <c r="B131" s="190">
        <f t="shared" si="4"/>
        <v>113</v>
      </c>
      <c r="C131" s="895" t="s">
        <v>1265</v>
      </c>
      <c r="D131" s="666" t="s">
        <v>2732</v>
      </c>
      <c r="E131" s="878">
        <v>28</v>
      </c>
      <c r="F131" s="280">
        <f t="shared" si="3"/>
        <v>28</v>
      </c>
    </row>
    <row r="132" spans="1:6" ht="18">
      <c r="A132" s="190">
        <v>129</v>
      </c>
      <c r="B132" s="190">
        <f t="shared" si="4"/>
        <v>114</v>
      </c>
      <c r="C132" s="895" t="s">
        <v>1078</v>
      </c>
      <c r="D132" s="666" t="s">
        <v>2732</v>
      </c>
      <c r="E132" s="878">
        <v>37</v>
      </c>
      <c r="F132" s="280">
        <f t="shared" si="3"/>
        <v>37</v>
      </c>
    </row>
    <row r="133" spans="1:6" ht="18">
      <c r="A133" s="190">
        <v>130</v>
      </c>
      <c r="B133" s="190">
        <f t="shared" si="4"/>
        <v>115</v>
      </c>
      <c r="C133" s="895" t="s">
        <v>4040</v>
      </c>
      <c r="D133" s="666" t="s">
        <v>2938</v>
      </c>
      <c r="E133" s="878">
        <v>39.36</v>
      </c>
      <c r="F133" s="280">
        <f t="shared" si="3"/>
        <v>39.36</v>
      </c>
    </row>
    <row r="134" spans="1:6" ht="18">
      <c r="A134" s="190">
        <v>131</v>
      </c>
      <c r="B134" s="190">
        <f>+B133+1</f>
        <v>116</v>
      </c>
      <c r="C134" s="895" t="s">
        <v>4041</v>
      </c>
      <c r="D134" s="666" t="s">
        <v>2938</v>
      </c>
      <c r="E134" s="878">
        <v>91.84</v>
      </c>
      <c r="F134" s="280">
        <f t="shared" si="3"/>
        <v>91.84</v>
      </c>
    </row>
    <row r="135" spans="1:6" s="654" customFormat="1" ht="18">
      <c r="A135" s="190">
        <v>132</v>
      </c>
      <c r="B135" s="462">
        <f>+B133+1</f>
        <v>116</v>
      </c>
      <c r="C135" s="896" t="s">
        <v>217</v>
      </c>
      <c r="D135" s="666" t="s">
        <v>2732</v>
      </c>
      <c r="E135" s="878">
        <v>1.87</v>
      </c>
      <c r="F135" s="280">
        <f t="shared" si="3"/>
        <v>1.87</v>
      </c>
    </row>
    <row r="136" spans="1:6" ht="18">
      <c r="A136" s="190">
        <v>133</v>
      </c>
      <c r="B136" s="190">
        <f t="shared" si="4"/>
        <v>117</v>
      </c>
      <c r="C136" s="895" t="s">
        <v>1834</v>
      </c>
      <c r="D136" s="666" t="s">
        <v>2732</v>
      </c>
      <c r="E136" s="280">
        <v>157</v>
      </c>
      <c r="F136" s="280">
        <f t="shared" si="3"/>
        <v>157</v>
      </c>
    </row>
    <row r="137" spans="1:6" ht="18">
      <c r="A137" s="190">
        <v>134</v>
      </c>
      <c r="B137" s="190">
        <f t="shared" si="4"/>
        <v>118</v>
      </c>
      <c r="C137" s="895" t="s">
        <v>2324</v>
      </c>
      <c r="D137" s="666" t="s">
        <v>3354</v>
      </c>
      <c r="E137" s="878">
        <v>115</v>
      </c>
      <c r="F137" s="280">
        <f t="shared" si="3"/>
        <v>115</v>
      </c>
    </row>
    <row r="138" spans="1:6" ht="18">
      <c r="A138" s="190">
        <v>135</v>
      </c>
      <c r="B138" s="190">
        <f t="shared" si="4"/>
        <v>119</v>
      </c>
      <c r="C138" s="895" t="s">
        <v>2325</v>
      </c>
      <c r="D138" s="666" t="s">
        <v>3354</v>
      </c>
      <c r="E138" s="878">
        <v>200</v>
      </c>
      <c r="F138" s="280">
        <f t="shared" si="3"/>
        <v>200</v>
      </c>
    </row>
    <row r="139" spans="1:6" ht="18">
      <c r="A139" s="190">
        <v>136</v>
      </c>
      <c r="B139" s="190">
        <f t="shared" si="4"/>
        <v>120</v>
      </c>
      <c r="C139" s="895" t="s">
        <v>2326</v>
      </c>
      <c r="D139" s="666" t="s">
        <v>3354</v>
      </c>
      <c r="E139" s="878">
        <v>180</v>
      </c>
      <c r="F139" s="280">
        <f t="shared" si="3"/>
        <v>180</v>
      </c>
    </row>
    <row r="140" spans="1:6" ht="18">
      <c r="A140" s="190">
        <v>137</v>
      </c>
      <c r="B140" s="190">
        <f t="shared" si="4"/>
        <v>121</v>
      </c>
      <c r="C140" s="895" t="s">
        <v>2519</v>
      </c>
      <c r="D140" s="666" t="s">
        <v>3354</v>
      </c>
      <c r="E140" s="280">
        <v>30</v>
      </c>
      <c r="F140" s="280">
        <f t="shared" si="3"/>
        <v>30</v>
      </c>
    </row>
    <row r="141" spans="1:6" ht="18">
      <c r="A141" s="190">
        <v>138</v>
      </c>
      <c r="B141" s="190">
        <f t="shared" si="4"/>
        <v>122</v>
      </c>
      <c r="C141" s="895" t="s">
        <v>542</v>
      </c>
      <c r="D141" s="666" t="s">
        <v>3354</v>
      </c>
      <c r="E141" s="280">
        <v>32</v>
      </c>
      <c r="F141" s="280">
        <f t="shared" si="3"/>
        <v>32</v>
      </c>
    </row>
    <row r="142" spans="1:6" ht="18">
      <c r="A142" s="190">
        <v>139</v>
      </c>
      <c r="B142" s="190">
        <f t="shared" si="4"/>
        <v>123</v>
      </c>
      <c r="C142" s="895" t="s">
        <v>1178</v>
      </c>
      <c r="D142" s="666" t="s">
        <v>3354</v>
      </c>
      <c r="E142" s="280">
        <v>15</v>
      </c>
      <c r="F142" s="280">
        <f t="shared" si="3"/>
        <v>15</v>
      </c>
    </row>
    <row r="143" spans="1:6" ht="18">
      <c r="A143" s="190">
        <v>140</v>
      </c>
      <c r="B143" s="190">
        <f t="shared" si="4"/>
        <v>124</v>
      </c>
      <c r="C143" s="896" t="s">
        <v>3701</v>
      </c>
      <c r="D143" s="666" t="s">
        <v>2730</v>
      </c>
      <c r="E143" s="878">
        <v>1121.49</v>
      </c>
      <c r="F143" s="878">
        <f t="shared" ref="F143:F209" si="6">E143</f>
        <v>1121.49</v>
      </c>
    </row>
    <row r="144" spans="1:6" ht="18">
      <c r="A144" s="190">
        <v>141</v>
      </c>
      <c r="B144" s="190">
        <f t="shared" si="4"/>
        <v>125</v>
      </c>
      <c r="C144" s="895" t="s">
        <v>1230</v>
      </c>
      <c r="D144" s="666" t="s">
        <v>3354</v>
      </c>
      <c r="E144" s="878">
        <v>4.5</v>
      </c>
      <c r="F144" s="280">
        <f t="shared" si="6"/>
        <v>4.5</v>
      </c>
    </row>
    <row r="145" spans="1:6" ht="18">
      <c r="A145" s="190">
        <v>142</v>
      </c>
      <c r="B145" s="190">
        <f t="shared" si="4"/>
        <v>126</v>
      </c>
      <c r="C145" s="895" t="s">
        <v>1231</v>
      </c>
      <c r="D145" s="666" t="s">
        <v>3354</v>
      </c>
      <c r="E145" s="878">
        <v>4</v>
      </c>
      <c r="F145" s="280">
        <f t="shared" si="6"/>
        <v>4</v>
      </c>
    </row>
    <row r="146" spans="1:6" ht="18">
      <c r="A146" s="190">
        <v>143</v>
      </c>
      <c r="B146" s="190">
        <f t="shared" si="4"/>
        <v>127</v>
      </c>
      <c r="C146" s="895" t="s">
        <v>531</v>
      </c>
      <c r="D146" s="666" t="s">
        <v>3354</v>
      </c>
      <c r="E146" s="280">
        <v>220</v>
      </c>
      <c r="F146" s="280">
        <f t="shared" si="6"/>
        <v>220</v>
      </c>
    </row>
    <row r="147" spans="1:6" ht="18">
      <c r="A147" s="190">
        <v>144</v>
      </c>
      <c r="B147" s="190">
        <f t="shared" si="4"/>
        <v>128</v>
      </c>
      <c r="C147" s="895" t="s">
        <v>543</v>
      </c>
      <c r="D147" s="666" t="s">
        <v>3698</v>
      </c>
      <c r="E147" s="878">
        <v>225</v>
      </c>
      <c r="F147" s="280">
        <f t="shared" si="6"/>
        <v>225</v>
      </c>
    </row>
    <row r="148" spans="1:6" ht="18">
      <c r="A148" s="190">
        <v>145</v>
      </c>
      <c r="B148" s="190">
        <f t="shared" si="4"/>
        <v>129</v>
      </c>
      <c r="C148" s="895" t="s">
        <v>2377</v>
      </c>
      <c r="D148" s="666" t="s">
        <v>3354</v>
      </c>
      <c r="E148" s="879">
        <v>134.5</v>
      </c>
      <c r="F148" s="280">
        <f t="shared" si="6"/>
        <v>134.5</v>
      </c>
    </row>
    <row r="149" spans="1:6" ht="18">
      <c r="A149" s="190">
        <v>146</v>
      </c>
      <c r="B149" s="190">
        <f t="shared" ref="B149:B216" si="7">+B148+1</f>
        <v>130</v>
      </c>
      <c r="C149" s="895" t="s">
        <v>1212</v>
      </c>
      <c r="D149" s="666" t="s">
        <v>3698</v>
      </c>
      <c r="E149" s="280">
        <v>139</v>
      </c>
      <c r="F149" s="280">
        <f t="shared" si="6"/>
        <v>139</v>
      </c>
    </row>
    <row r="150" spans="1:6" ht="18">
      <c r="A150" s="190">
        <v>147</v>
      </c>
      <c r="B150" s="190">
        <f t="shared" si="7"/>
        <v>131</v>
      </c>
      <c r="C150" s="895" t="s">
        <v>2378</v>
      </c>
      <c r="D150" s="666" t="s">
        <v>3354</v>
      </c>
      <c r="E150" s="280">
        <v>50</v>
      </c>
      <c r="F150" s="280">
        <f t="shared" si="6"/>
        <v>50</v>
      </c>
    </row>
    <row r="151" spans="1:6" ht="18">
      <c r="A151" s="190">
        <v>148</v>
      </c>
      <c r="B151" s="190">
        <f t="shared" si="7"/>
        <v>132</v>
      </c>
      <c r="C151" s="895" t="s">
        <v>1835</v>
      </c>
      <c r="D151" s="666" t="s">
        <v>3698</v>
      </c>
      <c r="E151" s="280">
        <v>421</v>
      </c>
      <c r="F151" s="280">
        <f t="shared" si="6"/>
        <v>421</v>
      </c>
    </row>
    <row r="152" spans="1:6" ht="18">
      <c r="A152" s="190">
        <v>149</v>
      </c>
      <c r="B152" s="190">
        <f t="shared" si="7"/>
        <v>133</v>
      </c>
      <c r="C152" s="895" t="s">
        <v>544</v>
      </c>
      <c r="D152" s="666" t="s">
        <v>3698</v>
      </c>
      <c r="E152" s="280">
        <v>300</v>
      </c>
      <c r="F152" s="280">
        <f t="shared" si="6"/>
        <v>300</v>
      </c>
    </row>
    <row r="153" spans="1:6" ht="18">
      <c r="A153" s="190">
        <v>150</v>
      </c>
      <c r="B153" s="190">
        <f t="shared" si="7"/>
        <v>134</v>
      </c>
      <c r="C153" s="895" t="s">
        <v>2690</v>
      </c>
      <c r="D153" s="666" t="s">
        <v>3698</v>
      </c>
      <c r="E153" s="879">
        <v>182.92</v>
      </c>
      <c r="F153" s="280">
        <f t="shared" si="6"/>
        <v>182.92</v>
      </c>
    </row>
    <row r="154" spans="1:6" ht="18">
      <c r="A154" s="190">
        <v>151</v>
      </c>
      <c r="B154" s="190">
        <f t="shared" si="7"/>
        <v>135</v>
      </c>
      <c r="C154" s="895" t="s">
        <v>2379</v>
      </c>
      <c r="D154" s="666" t="s">
        <v>3698</v>
      </c>
      <c r="E154" s="878">
        <v>422</v>
      </c>
      <c r="F154" s="280">
        <f t="shared" si="6"/>
        <v>422</v>
      </c>
    </row>
    <row r="155" spans="1:6" ht="18">
      <c r="A155" s="190">
        <v>152</v>
      </c>
      <c r="B155" s="190">
        <f t="shared" si="7"/>
        <v>136</v>
      </c>
      <c r="C155" s="895" t="s">
        <v>440</v>
      </c>
      <c r="D155" s="666" t="s">
        <v>3698</v>
      </c>
      <c r="E155" s="878">
        <v>530</v>
      </c>
      <c r="F155" s="280">
        <f t="shared" si="6"/>
        <v>530</v>
      </c>
    </row>
    <row r="156" spans="1:6" ht="18">
      <c r="A156" s="190">
        <v>153</v>
      </c>
      <c r="B156" s="190">
        <f t="shared" si="7"/>
        <v>137</v>
      </c>
      <c r="C156" s="895" t="s">
        <v>2380</v>
      </c>
      <c r="D156" s="666" t="s">
        <v>3698</v>
      </c>
      <c r="E156" s="280">
        <v>415</v>
      </c>
      <c r="F156" s="280">
        <f t="shared" si="6"/>
        <v>415</v>
      </c>
    </row>
    <row r="157" spans="1:6" ht="18">
      <c r="A157" s="190">
        <v>154</v>
      </c>
      <c r="B157" s="190">
        <f t="shared" si="7"/>
        <v>138</v>
      </c>
      <c r="C157" s="895" t="s">
        <v>1938</v>
      </c>
      <c r="D157" s="666" t="s">
        <v>3354</v>
      </c>
      <c r="E157" s="280">
        <v>115</v>
      </c>
      <c r="F157" s="280">
        <f t="shared" si="6"/>
        <v>115</v>
      </c>
    </row>
    <row r="158" spans="1:6" ht="18">
      <c r="A158" s="190">
        <v>155</v>
      </c>
      <c r="B158" s="190">
        <f t="shared" si="7"/>
        <v>139</v>
      </c>
      <c r="C158" s="897" t="s">
        <v>1937</v>
      </c>
      <c r="D158" s="666" t="s">
        <v>3354</v>
      </c>
      <c r="E158" s="280">
        <v>220</v>
      </c>
      <c r="F158" s="280">
        <f t="shared" si="6"/>
        <v>220</v>
      </c>
    </row>
    <row r="159" spans="1:6" ht="18">
      <c r="A159" s="190">
        <v>156</v>
      </c>
      <c r="B159" s="190">
        <f t="shared" si="7"/>
        <v>140</v>
      </c>
      <c r="C159" s="895" t="s">
        <v>181</v>
      </c>
      <c r="D159" s="666" t="s">
        <v>3354</v>
      </c>
      <c r="E159" s="280">
        <v>220</v>
      </c>
      <c r="F159" s="280">
        <f t="shared" si="6"/>
        <v>220</v>
      </c>
    </row>
    <row r="160" spans="1:6" ht="18">
      <c r="A160" s="190">
        <v>157</v>
      </c>
      <c r="B160" s="190">
        <f t="shared" si="7"/>
        <v>141</v>
      </c>
      <c r="C160" s="895" t="s">
        <v>4043</v>
      </c>
      <c r="D160" s="666" t="s">
        <v>3699</v>
      </c>
      <c r="E160" s="878">
        <v>4</v>
      </c>
      <c r="F160" s="280">
        <f t="shared" si="6"/>
        <v>4</v>
      </c>
    </row>
    <row r="161" spans="1:6" ht="18">
      <c r="A161" s="190">
        <v>158</v>
      </c>
      <c r="B161" s="190">
        <f t="shared" si="7"/>
        <v>142</v>
      </c>
      <c r="C161" s="895" t="s">
        <v>2381</v>
      </c>
      <c r="D161" s="666" t="s">
        <v>3698</v>
      </c>
      <c r="E161" s="878">
        <v>165</v>
      </c>
      <c r="F161" s="280">
        <f t="shared" si="6"/>
        <v>165</v>
      </c>
    </row>
    <row r="162" spans="1:6" ht="18">
      <c r="A162" s="190">
        <v>159</v>
      </c>
      <c r="B162" s="190">
        <f t="shared" si="7"/>
        <v>143</v>
      </c>
      <c r="C162" s="895" t="s">
        <v>545</v>
      </c>
      <c r="D162" s="666" t="s">
        <v>3698</v>
      </c>
      <c r="E162" s="878">
        <v>370</v>
      </c>
      <c r="F162" s="280">
        <f t="shared" si="6"/>
        <v>370</v>
      </c>
    </row>
    <row r="163" spans="1:6" ht="18">
      <c r="A163" s="190">
        <v>160</v>
      </c>
      <c r="B163" s="190">
        <f t="shared" si="7"/>
        <v>144</v>
      </c>
      <c r="C163" s="895" t="s">
        <v>3700</v>
      </c>
      <c r="D163" s="666" t="s">
        <v>3354</v>
      </c>
      <c r="E163" s="878">
        <v>240</v>
      </c>
      <c r="F163" s="280">
        <f t="shared" si="6"/>
        <v>240</v>
      </c>
    </row>
    <row r="164" spans="1:6" ht="18">
      <c r="A164" s="190">
        <v>161</v>
      </c>
      <c r="B164" s="190">
        <f t="shared" si="7"/>
        <v>145</v>
      </c>
      <c r="C164" s="895" t="s">
        <v>546</v>
      </c>
      <c r="D164" s="666" t="s">
        <v>3354</v>
      </c>
      <c r="E164" s="878">
        <v>90</v>
      </c>
      <c r="F164" s="280">
        <f t="shared" si="6"/>
        <v>90</v>
      </c>
    </row>
    <row r="165" spans="1:6" ht="18">
      <c r="A165" s="190">
        <v>162</v>
      </c>
      <c r="B165" s="190">
        <f t="shared" si="7"/>
        <v>146</v>
      </c>
      <c r="C165" s="895" t="s">
        <v>1692</v>
      </c>
      <c r="D165" s="666" t="s">
        <v>3354</v>
      </c>
      <c r="E165" s="280">
        <v>770</v>
      </c>
      <c r="F165" s="280">
        <f t="shared" si="6"/>
        <v>770</v>
      </c>
    </row>
    <row r="166" spans="1:6" ht="18">
      <c r="A166" s="190">
        <v>163</v>
      </c>
      <c r="B166" s="190">
        <f t="shared" si="7"/>
        <v>147</v>
      </c>
      <c r="C166" s="897" t="s">
        <v>3503</v>
      </c>
      <c r="D166" s="666" t="s">
        <v>3354</v>
      </c>
      <c r="E166" s="280">
        <v>47</v>
      </c>
      <c r="F166" s="280">
        <f t="shared" si="6"/>
        <v>47</v>
      </c>
    </row>
    <row r="167" spans="1:6" ht="18">
      <c r="A167" s="190">
        <v>164</v>
      </c>
      <c r="B167" s="190">
        <f t="shared" si="7"/>
        <v>148</v>
      </c>
      <c r="C167" s="895" t="s">
        <v>2382</v>
      </c>
      <c r="D167" s="666" t="s">
        <v>3698</v>
      </c>
      <c r="E167" s="280">
        <v>99</v>
      </c>
      <c r="F167" s="280">
        <f t="shared" si="6"/>
        <v>99</v>
      </c>
    </row>
    <row r="168" spans="1:6" ht="18">
      <c r="A168" s="190">
        <v>165</v>
      </c>
      <c r="B168" s="190">
        <f t="shared" si="7"/>
        <v>149</v>
      </c>
      <c r="C168" s="895" t="s">
        <v>2671</v>
      </c>
      <c r="D168" s="666" t="s">
        <v>3698</v>
      </c>
      <c r="E168" s="280">
        <v>140</v>
      </c>
      <c r="F168" s="280">
        <f t="shared" si="6"/>
        <v>140</v>
      </c>
    </row>
    <row r="169" spans="1:6" ht="18">
      <c r="A169" s="190">
        <v>166</v>
      </c>
      <c r="B169" s="190">
        <f t="shared" si="7"/>
        <v>150</v>
      </c>
      <c r="C169" s="895" t="s">
        <v>2383</v>
      </c>
      <c r="D169" s="666" t="s">
        <v>3354</v>
      </c>
      <c r="E169" s="280">
        <v>50</v>
      </c>
      <c r="F169" s="280">
        <f t="shared" si="6"/>
        <v>50</v>
      </c>
    </row>
    <row r="170" spans="1:6" ht="18">
      <c r="A170" s="190">
        <v>167</v>
      </c>
      <c r="B170" s="190">
        <f t="shared" si="7"/>
        <v>151</v>
      </c>
      <c r="C170" s="895" t="s">
        <v>2384</v>
      </c>
      <c r="D170" s="666" t="s">
        <v>3354</v>
      </c>
      <c r="E170" s="878">
        <v>65</v>
      </c>
      <c r="F170" s="280">
        <f t="shared" si="6"/>
        <v>65</v>
      </c>
    </row>
    <row r="171" spans="1:6" ht="18">
      <c r="A171" s="190">
        <v>168</v>
      </c>
      <c r="B171" s="190">
        <f t="shared" si="7"/>
        <v>152</v>
      </c>
      <c r="C171" s="895" t="s">
        <v>3114</v>
      </c>
      <c r="D171" s="666" t="s">
        <v>3354</v>
      </c>
      <c r="E171" s="878">
        <v>13</v>
      </c>
      <c r="F171" s="280">
        <f t="shared" si="6"/>
        <v>13</v>
      </c>
    </row>
    <row r="172" spans="1:6" ht="18">
      <c r="A172" s="190">
        <v>169</v>
      </c>
      <c r="B172" s="190">
        <f t="shared" si="7"/>
        <v>153</v>
      </c>
      <c r="C172" s="895" t="s">
        <v>2385</v>
      </c>
      <c r="D172" s="666" t="s">
        <v>3682</v>
      </c>
      <c r="E172" s="280">
        <v>30</v>
      </c>
      <c r="F172" s="280">
        <f t="shared" si="6"/>
        <v>30</v>
      </c>
    </row>
    <row r="173" spans="1:6" ht="18">
      <c r="A173" s="190">
        <v>170</v>
      </c>
      <c r="B173" s="190">
        <f t="shared" si="7"/>
        <v>154</v>
      </c>
      <c r="C173" s="895" t="s">
        <v>3942</v>
      </c>
      <c r="D173" s="666" t="s">
        <v>2938</v>
      </c>
      <c r="E173" s="878">
        <v>120</v>
      </c>
      <c r="F173" s="280">
        <f t="shared" si="6"/>
        <v>120</v>
      </c>
    </row>
    <row r="174" spans="1:6" ht="34.5">
      <c r="A174" s="190">
        <v>171</v>
      </c>
      <c r="B174" s="462">
        <f t="shared" si="7"/>
        <v>155</v>
      </c>
      <c r="C174" s="901" t="s">
        <v>3943</v>
      </c>
      <c r="D174" s="935" t="s">
        <v>3682</v>
      </c>
      <c r="E174" s="878">
        <v>1864.17</v>
      </c>
      <c r="F174" s="878">
        <f t="shared" si="6"/>
        <v>1864.17</v>
      </c>
    </row>
    <row r="175" spans="1:6" ht="17.25">
      <c r="A175" s="190">
        <v>172</v>
      </c>
      <c r="B175" s="190">
        <f t="shared" si="7"/>
        <v>156</v>
      </c>
      <c r="C175" s="902" t="s">
        <v>3944</v>
      </c>
      <c r="D175" s="666" t="s">
        <v>3682</v>
      </c>
      <c r="E175" s="878">
        <v>2483.25</v>
      </c>
      <c r="F175" s="280">
        <f t="shared" si="6"/>
        <v>2483.25</v>
      </c>
    </row>
    <row r="176" spans="1:6" ht="18">
      <c r="A176" s="190">
        <v>173</v>
      </c>
      <c r="B176" s="190">
        <f t="shared" si="7"/>
        <v>157</v>
      </c>
      <c r="C176" s="898" t="s">
        <v>2289</v>
      </c>
      <c r="D176" s="666" t="s">
        <v>3354</v>
      </c>
      <c r="E176" s="878">
        <v>115.5</v>
      </c>
      <c r="F176" s="280">
        <f t="shared" si="6"/>
        <v>115.5</v>
      </c>
    </row>
    <row r="177" spans="1:7" ht="18">
      <c r="A177" s="190">
        <v>174</v>
      </c>
      <c r="B177" s="190">
        <f t="shared" si="7"/>
        <v>158</v>
      </c>
      <c r="C177" s="895" t="s">
        <v>1301</v>
      </c>
      <c r="D177" s="666" t="s">
        <v>3354</v>
      </c>
      <c r="E177" s="878">
        <v>78</v>
      </c>
      <c r="F177" s="280">
        <f t="shared" si="6"/>
        <v>78</v>
      </c>
    </row>
    <row r="178" spans="1:7" ht="18">
      <c r="A178" s="190">
        <v>175</v>
      </c>
      <c r="B178" s="190">
        <f t="shared" si="7"/>
        <v>159</v>
      </c>
      <c r="C178" s="895" t="s">
        <v>23</v>
      </c>
      <c r="D178" s="666" t="s">
        <v>3354</v>
      </c>
      <c r="E178" s="878">
        <v>79</v>
      </c>
      <c r="F178" s="280">
        <f t="shared" si="6"/>
        <v>79</v>
      </c>
    </row>
    <row r="179" spans="1:7" ht="17.25">
      <c r="A179" s="190">
        <v>176</v>
      </c>
      <c r="B179" s="190">
        <f t="shared" si="7"/>
        <v>160</v>
      </c>
      <c r="C179" s="894" t="s">
        <v>3388</v>
      </c>
      <c r="D179" s="666" t="s">
        <v>3682</v>
      </c>
      <c r="E179" s="878">
        <v>4379.32</v>
      </c>
      <c r="F179" s="280">
        <f t="shared" si="6"/>
        <v>4379.32</v>
      </c>
    </row>
    <row r="180" spans="1:7" ht="17.25">
      <c r="A180" s="190">
        <v>177</v>
      </c>
      <c r="B180" s="190">
        <f t="shared" si="7"/>
        <v>161</v>
      </c>
      <c r="C180" s="894" t="s">
        <v>2292</v>
      </c>
      <c r="D180" s="666" t="s">
        <v>3682</v>
      </c>
      <c r="E180" s="878">
        <v>5918</v>
      </c>
      <c r="F180" s="280">
        <f t="shared" si="6"/>
        <v>5918</v>
      </c>
    </row>
    <row r="181" spans="1:7" ht="17.25">
      <c r="A181" s="190">
        <v>178</v>
      </c>
      <c r="B181" s="190">
        <f t="shared" si="7"/>
        <v>162</v>
      </c>
      <c r="C181" s="894" t="s">
        <v>3389</v>
      </c>
      <c r="D181" s="666" t="s">
        <v>3682</v>
      </c>
      <c r="E181" s="280">
        <v>3077.36</v>
      </c>
      <c r="F181" s="280">
        <f t="shared" si="6"/>
        <v>3077.36</v>
      </c>
    </row>
    <row r="182" spans="1:7" ht="34.5">
      <c r="A182" s="190">
        <v>179</v>
      </c>
      <c r="B182" s="190">
        <f t="shared" si="7"/>
        <v>163</v>
      </c>
      <c r="C182" s="903" t="s">
        <v>2904</v>
      </c>
      <c r="D182" s="666" t="s">
        <v>1101</v>
      </c>
      <c r="E182" s="280">
        <v>13.24</v>
      </c>
      <c r="F182" s="280">
        <f t="shared" si="6"/>
        <v>13.24</v>
      </c>
    </row>
    <row r="183" spans="1:7" ht="17.25">
      <c r="A183" s="190">
        <v>180</v>
      </c>
      <c r="B183" s="462">
        <f>+B182+1</f>
        <v>164</v>
      </c>
      <c r="C183" s="901" t="s">
        <v>3702</v>
      </c>
      <c r="D183" s="935" t="s">
        <v>3354</v>
      </c>
      <c r="E183" s="878">
        <v>38.5</v>
      </c>
      <c r="F183" s="878">
        <f t="shared" si="6"/>
        <v>38.5</v>
      </c>
    </row>
    <row r="184" spans="1:7" ht="40.5" customHeight="1">
      <c r="A184" s="190">
        <v>181</v>
      </c>
      <c r="B184" s="190"/>
      <c r="C184" s="904" t="s">
        <v>4335</v>
      </c>
      <c r="D184" s="666" t="s">
        <v>3682</v>
      </c>
      <c r="E184" s="280">
        <f>440*10.76</f>
        <v>4734.3999999999996</v>
      </c>
      <c r="F184" s="280">
        <f t="shared" si="6"/>
        <v>4734.3999999999996</v>
      </c>
      <c r="G184" s="1027">
        <v>1</v>
      </c>
    </row>
    <row r="185" spans="1:7" ht="40.5">
      <c r="A185" s="190">
        <v>182</v>
      </c>
      <c r="B185" s="190">
        <f>+B183+1</f>
        <v>165</v>
      </c>
      <c r="C185" s="904" t="s">
        <v>4336</v>
      </c>
      <c r="D185" s="666" t="s">
        <v>3682</v>
      </c>
      <c r="E185" s="280">
        <f>473*10.76</f>
        <v>5089.4799999999996</v>
      </c>
      <c r="F185" s="280">
        <f t="shared" si="6"/>
        <v>5089.4799999999996</v>
      </c>
      <c r="G185" s="1027">
        <v>2</v>
      </c>
    </row>
    <row r="186" spans="1:7" ht="27.75">
      <c r="A186" s="190">
        <v>183</v>
      </c>
      <c r="B186" s="668">
        <f t="shared" si="7"/>
        <v>166</v>
      </c>
      <c r="C186" s="905" t="s">
        <v>4337</v>
      </c>
      <c r="D186" s="666" t="s">
        <v>3682</v>
      </c>
      <c r="E186" s="280">
        <f>462*10.76</f>
        <v>4971.12</v>
      </c>
      <c r="F186" s="280">
        <f t="shared" si="6"/>
        <v>4971.12</v>
      </c>
      <c r="G186" s="1027">
        <v>3</v>
      </c>
    </row>
    <row r="187" spans="1:7" ht="27.75">
      <c r="A187" s="190">
        <v>184</v>
      </c>
      <c r="B187" s="190">
        <f t="shared" si="7"/>
        <v>167</v>
      </c>
      <c r="C187" s="905" t="s">
        <v>4338</v>
      </c>
      <c r="D187" s="666" t="s">
        <v>3682</v>
      </c>
      <c r="E187" s="280">
        <f>495*10.76</f>
        <v>5326.2</v>
      </c>
      <c r="F187" s="280">
        <f t="shared" si="6"/>
        <v>5326.2</v>
      </c>
      <c r="G187" s="1027">
        <v>4</v>
      </c>
    </row>
    <row r="188" spans="1:7" ht="34.5" customHeight="1">
      <c r="A188" s="190">
        <v>185</v>
      </c>
      <c r="B188" s="190">
        <f t="shared" si="7"/>
        <v>168</v>
      </c>
      <c r="C188" s="905" t="s">
        <v>4339</v>
      </c>
      <c r="D188" s="666" t="s">
        <v>3682</v>
      </c>
      <c r="E188" s="280">
        <f>517*10.76</f>
        <v>5562.92</v>
      </c>
      <c r="F188" s="280">
        <f t="shared" si="6"/>
        <v>5562.92</v>
      </c>
      <c r="G188" s="1027">
        <v>5</v>
      </c>
    </row>
    <row r="189" spans="1:7" ht="42" customHeight="1">
      <c r="A189" s="190">
        <v>186</v>
      </c>
      <c r="B189" s="190">
        <f t="shared" si="7"/>
        <v>169</v>
      </c>
      <c r="C189" s="905" t="s">
        <v>4340</v>
      </c>
      <c r="D189" s="666" t="s">
        <v>3682</v>
      </c>
      <c r="E189" s="280">
        <f>440*10.76</f>
        <v>4734.3999999999996</v>
      </c>
      <c r="F189" s="280">
        <f t="shared" si="6"/>
        <v>4734.3999999999996</v>
      </c>
      <c r="G189" s="1027">
        <v>6</v>
      </c>
    </row>
    <row r="190" spans="1:7" ht="31.5" customHeight="1">
      <c r="A190" s="190">
        <v>187</v>
      </c>
      <c r="B190" s="190">
        <f t="shared" si="7"/>
        <v>170</v>
      </c>
      <c r="C190" s="905" t="s">
        <v>4341</v>
      </c>
      <c r="D190" s="666" t="s">
        <v>3682</v>
      </c>
      <c r="E190" s="280">
        <f>539*10.76</f>
        <v>5799.64</v>
      </c>
      <c r="F190" s="280">
        <f t="shared" si="6"/>
        <v>5799.64</v>
      </c>
      <c r="G190" s="1027">
        <v>7</v>
      </c>
    </row>
    <row r="191" spans="1:7" ht="31.5" customHeight="1">
      <c r="A191" s="190">
        <v>188</v>
      </c>
      <c r="B191" s="190"/>
      <c r="C191" s="905" t="s">
        <v>4342</v>
      </c>
      <c r="D191" s="666" t="s">
        <v>3682</v>
      </c>
      <c r="E191" s="280">
        <f>539*10.76</f>
        <v>5799.64</v>
      </c>
      <c r="F191" s="280">
        <f t="shared" ref="F191" si="8">E191</f>
        <v>5799.64</v>
      </c>
      <c r="G191" s="1027">
        <v>8</v>
      </c>
    </row>
    <row r="192" spans="1:7" ht="35.25" customHeight="1">
      <c r="A192" s="190">
        <v>189</v>
      </c>
      <c r="B192" s="190">
        <f>+B190+1</f>
        <v>171</v>
      </c>
      <c r="C192" s="905" t="s">
        <v>4343</v>
      </c>
      <c r="D192" s="666" t="s">
        <v>3682</v>
      </c>
      <c r="E192" s="280">
        <f>418*10.76</f>
        <v>4497.68</v>
      </c>
      <c r="F192" s="280">
        <f t="shared" si="6"/>
        <v>4497.68</v>
      </c>
      <c r="G192" s="1027">
        <v>9</v>
      </c>
    </row>
    <row r="193" spans="1:7" ht="33" customHeight="1">
      <c r="A193" s="190">
        <v>189</v>
      </c>
      <c r="B193" s="190">
        <f t="shared" si="7"/>
        <v>172</v>
      </c>
      <c r="C193" s="905" t="s">
        <v>4344</v>
      </c>
      <c r="D193" s="666" t="s">
        <v>3682</v>
      </c>
      <c r="E193" s="280">
        <f>418*10.76</f>
        <v>4497.68</v>
      </c>
      <c r="F193" s="280">
        <f t="shared" si="6"/>
        <v>4497.68</v>
      </c>
      <c r="G193" s="1027">
        <v>10</v>
      </c>
    </row>
    <row r="194" spans="1:7" ht="33" customHeight="1">
      <c r="A194" s="190"/>
      <c r="B194" s="190"/>
      <c r="C194" s="905" t="s">
        <v>4345</v>
      </c>
      <c r="D194" s="666" t="s">
        <v>3682</v>
      </c>
      <c r="E194" s="280">
        <f>418*10.76</f>
        <v>4497.68</v>
      </c>
      <c r="F194" s="280">
        <f t="shared" ref="F194" si="9">E194</f>
        <v>4497.68</v>
      </c>
      <c r="G194" s="1027">
        <v>11</v>
      </c>
    </row>
    <row r="195" spans="1:7" ht="33" customHeight="1">
      <c r="A195" s="190"/>
      <c r="B195" s="190"/>
      <c r="C195" s="905" t="s">
        <v>4346</v>
      </c>
      <c r="D195" s="666" t="s">
        <v>3682</v>
      </c>
      <c r="E195" s="280">
        <f>396*10.76</f>
        <v>4260.96</v>
      </c>
      <c r="F195" s="280">
        <f t="shared" ref="F195" si="10">E195</f>
        <v>4260.96</v>
      </c>
      <c r="G195" s="1027">
        <v>12</v>
      </c>
    </row>
    <row r="196" spans="1:7" ht="48">
      <c r="A196" s="190">
        <v>190</v>
      </c>
      <c r="B196" s="811">
        <f>+B193+1</f>
        <v>173</v>
      </c>
      <c r="C196" s="906" t="s">
        <v>3945</v>
      </c>
      <c r="D196" s="939" t="s">
        <v>3682</v>
      </c>
      <c r="E196" s="881">
        <f>1567.5*10.76</f>
        <v>16866.3</v>
      </c>
      <c r="F196" s="881">
        <f t="shared" si="6"/>
        <v>16866.3</v>
      </c>
    </row>
    <row r="197" spans="1:7" ht="34.5" customHeight="1">
      <c r="A197" s="190">
        <v>191</v>
      </c>
      <c r="B197" s="811">
        <f t="shared" si="7"/>
        <v>174</v>
      </c>
      <c r="C197" s="906" t="s">
        <v>2770</v>
      </c>
      <c r="D197" s="939" t="s">
        <v>3682</v>
      </c>
      <c r="E197" s="881">
        <f>522.5*10.76</f>
        <v>5622.0999999999995</v>
      </c>
      <c r="F197" s="881">
        <f t="shared" si="6"/>
        <v>5622.0999999999995</v>
      </c>
    </row>
    <row r="198" spans="1:7" ht="17.25">
      <c r="A198" s="190">
        <v>192</v>
      </c>
      <c r="B198" s="190">
        <f t="shared" si="7"/>
        <v>175</v>
      </c>
      <c r="C198" s="894" t="s">
        <v>556</v>
      </c>
      <c r="D198" s="666" t="s">
        <v>2732</v>
      </c>
      <c r="E198" s="878">
        <v>1540</v>
      </c>
      <c r="F198" s="280">
        <f t="shared" si="6"/>
        <v>1540</v>
      </c>
    </row>
    <row r="199" spans="1:7" ht="37.5" customHeight="1">
      <c r="A199" s="190">
        <v>193</v>
      </c>
      <c r="B199" s="811">
        <f t="shared" si="7"/>
        <v>176</v>
      </c>
      <c r="C199" s="906" t="s">
        <v>3680</v>
      </c>
      <c r="D199" s="939" t="s">
        <v>2732</v>
      </c>
      <c r="E199" s="881">
        <v>1345</v>
      </c>
      <c r="F199" s="881">
        <f t="shared" si="6"/>
        <v>1345</v>
      </c>
    </row>
    <row r="200" spans="1:7" ht="30">
      <c r="A200" s="190">
        <v>194</v>
      </c>
      <c r="B200" s="811">
        <f t="shared" si="7"/>
        <v>177</v>
      </c>
      <c r="C200" s="873" t="s">
        <v>3681</v>
      </c>
      <c r="D200" s="939" t="s">
        <v>2732</v>
      </c>
      <c r="E200" s="881">
        <v>800</v>
      </c>
      <c r="F200" s="881">
        <f t="shared" si="6"/>
        <v>800</v>
      </c>
    </row>
    <row r="201" spans="1:7" ht="19.5">
      <c r="A201" s="190">
        <v>195</v>
      </c>
      <c r="B201" s="811">
        <f t="shared" si="7"/>
        <v>178</v>
      </c>
      <c r="C201" s="907" t="s">
        <v>1082</v>
      </c>
      <c r="D201" s="939" t="s">
        <v>2730</v>
      </c>
      <c r="E201" s="881">
        <v>1640</v>
      </c>
      <c r="F201" s="881">
        <f t="shared" si="6"/>
        <v>1640</v>
      </c>
    </row>
    <row r="202" spans="1:7" ht="17.25">
      <c r="A202" s="190">
        <v>196</v>
      </c>
      <c r="B202" s="190">
        <f t="shared" si="7"/>
        <v>179</v>
      </c>
      <c r="C202" s="894" t="s">
        <v>3390</v>
      </c>
      <c r="D202" s="666" t="s">
        <v>2938</v>
      </c>
      <c r="E202" s="878">
        <v>112.5</v>
      </c>
      <c r="F202" s="280">
        <f t="shared" si="6"/>
        <v>112.5</v>
      </c>
    </row>
    <row r="203" spans="1:7" ht="17.25">
      <c r="A203" s="190">
        <v>197</v>
      </c>
      <c r="B203" s="190">
        <f t="shared" si="7"/>
        <v>180</v>
      </c>
      <c r="C203" s="894" t="s">
        <v>1080</v>
      </c>
      <c r="D203" s="666" t="s">
        <v>2732</v>
      </c>
      <c r="E203" s="878">
        <v>170</v>
      </c>
      <c r="F203" s="280">
        <f t="shared" si="6"/>
        <v>170</v>
      </c>
    </row>
    <row r="204" spans="1:7" ht="48.75">
      <c r="A204" s="190">
        <v>198</v>
      </c>
      <c r="B204" s="190">
        <f t="shared" si="7"/>
        <v>181</v>
      </c>
      <c r="C204" s="908" t="s">
        <v>2676</v>
      </c>
      <c r="D204" s="666" t="s">
        <v>2732</v>
      </c>
      <c r="E204" s="280">
        <v>7937.6</v>
      </c>
      <c r="F204" s="280">
        <f t="shared" si="6"/>
        <v>7937.6</v>
      </c>
    </row>
    <row r="205" spans="1:7" ht="32.25">
      <c r="A205" s="190">
        <v>199</v>
      </c>
      <c r="B205" s="190">
        <f t="shared" si="7"/>
        <v>182</v>
      </c>
      <c r="C205" s="908" t="s">
        <v>2109</v>
      </c>
      <c r="D205" s="666" t="s">
        <v>3682</v>
      </c>
      <c r="E205" s="280">
        <v>550</v>
      </c>
      <c r="F205" s="280">
        <f t="shared" si="6"/>
        <v>550</v>
      </c>
    </row>
    <row r="206" spans="1:7" ht="32.25">
      <c r="A206" s="190">
        <v>200</v>
      </c>
      <c r="B206" s="190">
        <f t="shared" si="7"/>
        <v>183</v>
      </c>
      <c r="C206" s="908" t="s">
        <v>1097</v>
      </c>
      <c r="D206" s="666" t="s">
        <v>2938</v>
      </c>
      <c r="E206" s="280">
        <v>66</v>
      </c>
      <c r="F206" s="280">
        <f t="shared" si="6"/>
        <v>66</v>
      </c>
    </row>
    <row r="207" spans="1:7" ht="36">
      <c r="A207" s="190">
        <v>201</v>
      </c>
      <c r="B207" s="190">
        <f t="shared" si="7"/>
        <v>184</v>
      </c>
      <c r="C207" s="898" t="s">
        <v>548</v>
      </c>
      <c r="D207" s="666" t="s">
        <v>2938</v>
      </c>
      <c r="E207" s="878">
        <v>277</v>
      </c>
      <c r="F207" s="280">
        <f t="shared" si="6"/>
        <v>277</v>
      </c>
    </row>
    <row r="208" spans="1:7" ht="36">
      <c r="A208" s="190">
        <v>202</v>
      </c>
      <c r="B208" s="190">
        <f t="shared" si="7"/>
        <v>185</v>
      </c>
      <c r="C208" s="898" t="s">
        <v>1272</v>
      </c>
      <c r="D208" s="666" t="s">
        <v>2938</v>
      </c>
      <c r="E208" s="878">
        <v>382</v>
      </c>
      <c r="F208" s="280">
        <f t="shared" si="6"/>
        <v>382</v>
      </c>
    </row>
    <row r="209" spans="1:6" ht="18">
      <c r="A209" s="190">
        <v>203</v>
      </c>
      <c r="B209" s="811">
        <f t="shared" si="7"/>
        <v>186</v>
      </c>
      <c r="C209" s="909" t="s">
        <v>3138</v>
      </c>
      <c r="D209" s="939" t="s">
        <v>3354</v>
      </c>
      <c r="E209" s="881">
        <v>77</v>
      </c>
      <c r="F209" s="881">
        <f t="shared" si="6"/>
        <v>77</v>
      </c>
    </row>
    <row r="210" spans="1:6" ht="18">
      <c r="A210" s="190">
        <v>204</v>
      </c>
      <c r="B210" s="190">
        <f t="shared" si="7"/>
        <v>187</v>
      </c>
      <c r="C210" s="898" t="s">
        <v>1300</v>
      </c>
      <c r="D210" s="935" t="s">
        <v>3354</v>
      </c>
      <c r="E210" s="280">
        <v>19</v>
      </c>
      <c r="F210" s="280">
        <f t="shared" ref="F210:F274" si="11">E210</f>
        <v>19</v>
      </c>
    </row>
    <row r="211" spans="1:6" ht="18">
      <c r="A211" s="190">
        <v>205</v>
      </c>
      <c r="B211" s="190">
        <f t="shared" si="7"/>
        <v>188</v>
      </c>
      <c r="C211" s="895" t="s">
        <v>552</v>
      </c>
      <c r="D211" s="666" t="s">
        <v>3682</v>
      </c>
      <c r="E211" s="878">
        <v>699.4</v>
      </c>
      <c r="F211" s="280">
        <f t="shared" si="11"/>
        <v>699.4</v>
      </c>
    </row>
    <row r="212" spans="1:6" ht="18">
      <c r="A212" s="190">
        <v>206</v>
      </c>
      <c r="B212" s="190">
        <f t="shared" si="7"/>
        <v>189</v>
      </c>
      <c r="C212" s="898" t="s">
        <v>554</v>
      </c>
      <c r="D212" s="666" t="s">
        <v>3682</v>
      </c>
      <c r="E212" s="882">
        <v>1022.2</v>
      </c>
      <c r="F212" s="280">
        <f t="shared" si="11"/>
        <v>1022.2</v>
      </c>
    </row>
    <row r="213" spans="1:6" ht="18">
      <c r="A213" s="190">
        <v>207</v>
      </c>
      <c r="B213" s="190">
        <f t="shared" si="7"/>
        <v>190</v>
      </c>
      <c r="C213" s="898" t="s">
        <v>553</v>
      </c>
      <c r="D213" s="666" t="s">
        <v>3682</v>
      </c>
      <c r="E213" s="882">
        <v>925.36</v>
      </c>
      <c r="F213" s="280">
        <f t="shared" si="11"/>
        <v>925.36</v>
      </c>
    </row>
    <row r="214" spans="1:6" ht="18">
      <c r="A214" s="190">
        <v>208</v>
      </c>
      <c r="B214" s="190">
        <f t="shared" si="7"/>
        <v>191</v>
      </c>
      <c r="C214" s="898" t="s">
        <v>2517</v>
      </c>
      <c r="D214" s="666" t="s">
        <v>3682</v>
      </c>
      <c r="E214" s="882">
        <v>1054.48</v>
      </c>
      <c r="F214" s="280">
        <f t="shared" si="11"/>
        <v>1054.48</v>
      </c>
    </row>
    <row r="215" spans="1:6" ht="18">
      <c r="A215" s="190">
        <v>209</v>
      </c>
      <c r="B215" s="190">
        <f t="shared" si="7"/>
        <v>192</v>
      </c>
      <c r="C215" s="895" t="s">
        <v>1273</v>
      </c>
      <c r="D215" s="666" t="s">
        <v>3682</v>
      </c>
      <c r="E215" s="280">
        <v>785.48</v>
      </c>
      <c r="F215" s="280">
        <f t="shared" si="11"/>
        <v>785.48</v>
      </c>
    </row>
    <row r="216" spans="1:6" ht="18">
      <c r="A216" s="190">
        <v>210</v>
      </c>
      <c r="B216" s="190">
        <f t="shared" si="7"/>
        <v>193</v>
      </c>
      <c r="C216" s="895" t="s">
        <v>2440</v>
      </c>
      <c r="D216" s="666" t="s">
        <v>3682</v>
      </c>
      <c r="E216" s="280">
        <v>1183.5999999999999</v>
      </c>
      <c r="F216" s="280">
        <f t="shared" si="11"/>
        <v>1183.5999999999999</v>
      </c>
    </row>
    <row r="217" spans="1:6" ht="19.5">
      <c r="A217" s="190">
        <v>211</v>
      </c>
      <c r="B217" s="667">
        <f t="shared" ref="B217:B222" si="12">+B216+1</f>
        <v>194</v>
      </c>
      <c r="C217" s="910" t="s">
        <v>649</v>
      </c>
      <c r="D217" s="666" t="s">
        <v>3682</v>
      </c>
      <c r="E217" s="879">
        <v>1474.12</v>
      </c>
      <c r="F217" s="879">
        <f t="shared" si="11"/>
        <v>1474.12</v>
      </c>
    </row>
    <row r="218" spans="1:6" ht="19.5">
      <c r="A218" s="190">
        <v>212</v>
      </c>
      <c r="B218" s="190">
        <f t="shared" si="12"/>
        <v>195</v>
      </c>
      <c r="C218" s="911" t="s">
        <v>3946</v>
      </c>
      <c r="D218" s="935" t="s">
        <v>3682</v>
      </c>
      <c r="E218" s="878">
        <v>516.48</v>
      </c>
      <c r="F218" s="280">
        <f t="shared" si="11"/>
        <v>516.48</v>
      </c>
    </row>
    <row r="219" spans="1:6" ht="19.5">
      <c r="A219" s="190">
        <v>213</v>
      </c>
      <c r="B219" s="190">
        <f t="shared" si="12"/>
        <v>196</v>
      </c>
      <c r="C219" s="326" t="s">
        <v>1332</v>
      </c>
      <c r="D219" s="666" t="s">
        <v>3682</v>
      </c>
      <c r="E219" s="878">
        <v>226</v>
      </c>
      <c r="F219" s="280">
        <f t="shared" si="11"/>
        <v>226</v>
      </c>
    </row>
    <row r="220" spans="1:6" ht="19.5">
      <c r="A220" s="190">
        <v>214</v>
      </c>
      <c r="B220" s="190">
        <v>198</v>
      </c>
      <c r="C220" s="911" t="s">
        <v>11</v>
      </c>
      <c r="D220" s="666" t="s">
        <v>3682</v>
      </c>
      <c r="E220" s="878">
        <v>559.52</v>
      </c>
      <c r="F220" s="280">
        <f t="shared" si="11"/>
        <v>559.52</v>
      </c>
    </row>
    <row r="221" spans="1:6" ht="19.5">
      <c r="A221" s="190">
        <v>215</v>
      </c>
      <c r="B221" s="190">
        <f t="shared" si="12"/>
        <v>199</v>
      </c>
      <c r="C221" s="911" t="s">
        <v>1836</v>
      </c>
      <c r="D221" s="666" t="s">
        <v>3682</v>
      </c>
      <c r="E221" s="878">
        <v>2743.8</v>
      </c>
      <c r="F221" s="280">
        <f t="shared" si="11"/>
        <v>2743.8</v>
      </c>
    </row>
    <row r="222" spans="1:6" ht="19.5" customHeight="1">
      <c r="A222" s="190">
        <v>216</v>
      </c>
      <c r="B222" s="667">
        <f t="shared" si="12"/>
        <v>200</v>
      </c>
      <c r="C222" s="812" t="s">
        <v>3703</v>
      </c>
      <c r="D222" s="938" t="s">
        <v>3682</v>
      </c>
      <c r="E222" s="879">
        <v>420.66</v>
      </c>
      <c r="F222" s="879">
        <f t="shared" si="11"/>
        <v>420.66</v>
      </c>
    </row>
    <row r="223" spans="1:6" ht="19.5" customHeight="1">
      <c r="A223" s="190">
        <v>217</v>
      </c>
      <c r="B223" s="190"/>
      <c r="C223" s="345"/>
      <c r="D223" s="666"/>
      <c r="E223" s="878"/>
      <c r="F223" s="280"/>
    </row>
    <row r="224" spans="1:6" ht="19.5" customHeight="1">
      <c r="A224" s="190">
        <v>218</v>
      </c>
      <c r="B224" s="190"/>
      <c r="C224" s="912" t="s">
        <v>1096</v>
      </c>
      <c r="D224" s="190"/>
      <c r="E224" s="280"/>
      <c r="F224" s="280"/>
    </row>
    <row r="225" spans="1:6" ht="19.5" customHeight="1">
      <c r="A225" s="190">
        <v>219</v>
      </c>
      <c r="B225" s="190">
        <v>207</v>
      </c>
      <c r="C225" s="911" t="s">
        <v>387</v>
      </c>
      <c r="D225" s="315" t="s">
        <v>3248</v>
      </c>
      <c r="E225" s="280">
        <v>172</v>
      </c>
      <c r="F225" s="280">
        <f t="shared" si="11"/>
        <v>172</v>
      </c>
    </row>
    <row r="226" spans="1:6" ht="19.5" customHeight="1">
      <c r="A226" s="190">
        <v>220</v>
      </c>
      <c r="B226" s="190">
        <f>B225+1</f>
        <v>208</v>
      </c>
      <c r="C226" s="911" t="s">
        <v>388</v>
      </c>
      <c r="D226" s="315" t="s">
        <v>3248</v>
      </c>
      <c r="E226" s="280">
        <v>215</v>
      </c>
      <c r="F226" s="280">
        <f t="shared" si="11"/>
        <v>215</v>
      </c>
    </row>
    <row r="227" spans="1:6" ht="19.5" customHeight="1">
      <c r="A227" s="190">
        <v>221</v>
      </c>
      <c r="B227" s="190">
        <f>B226+1</f>
        <v>209</v>
      </c>
      <c r="C227" s="911" t="s">
        <v>389</v>
      </c>
      <c r="D227" s="315" t="s">
        <v>3248</v>
      </c>
      <c r="E227" s="280">
        <v>273</v>
      </c>
      <c r="F227" s="280">
        <f t="shared" si="11"/>
        <v>273</v>
      </c>
    </row>
    <row r="228" spans="1:6" ht="19.5" customHeight="1">
      <c r="A228" s="190">
        <v>222</v>
      </c>
      <c r="B228" s="190">
        <f>B227+1</f>
        <v>210</v>
      </c>
      <c r="C228" s="911" t="s">
        <v>390</v>
      </c>
      <c r="D228" s="315" t="s">
        <v>3248</v>
      </c>
      <c r="E228" s="280">
        <v>332</v>
      </c>
      <c r="F228" s="280">
        <f t="shared" si="11"/>
        <v>332</v>
      </c>
    </row>
    <row r="229" spans="1:6" ht="19.5" customHeight="1">
      <c r="A229" s="190">
        <v>223</v>
      </c>
      <c r="B229" s="190">
        <f>B228+1</f>
        <v>211</v>
      </c>
      <c r="C229" s="911" t="s">
        <v>391</v>
      </c>
      <c r="D229" s="315" t="s">
        <v>3248</v>
      </c>
      <c r="E229" s="280">
        <v>449</v>
      </c>
      <c r="F229" s="280">
        <f t="shared" si="11"/>
        <v>449</v>
      </c>
    </row>
    <row r="230" spans="1:6" ht="19.5" customHeight="1">
      <c r="A230" s="190">
        <v>224</v>
      </c>
      <c r="B230" s="190"/>
      <c r="C230" s="377" t="s">
        <v>3283</v>
      </c>
      <c r="D230" s="190"/>
      <c r="E230" s="280"/>
      <c r="F230" s="280">
        <f t="shared" si="11"/>
        <v>0</v>
      </c>
    </row>
    <row r="231" spans="1:6" ht="19.5" customHeight="1">
      <c r="A231" s="190">
        <v>225</v>
      </c>
      <c r="B231" s="190">
        <v>212</v>
      </c>
      <c r="C231" s="913" t="s">
        <v>3704</v>
      </c>
      <c r="D231" s="362" t="s">
        <v>2110</v>
      </c>
      <c r="E231" s="878">
        <v>1379.97</v>
      </c>
      <c r="F231" s="878">
        <f t="shared" si="11"/>
        <v>1379.97</v>
      </c>
    </row>
    <row r="232" spans="1:6" ht="26.25">
      <c r="A232" s="190">
        <v>226</v>
      </c>
      <c r="B232" s="190">
        <f>B231+1</f>
        <v>213</v>
      </c>
      <c r="C232" s="914" t="s">
        <v>2800</v>
      </c>
      <c r="D232" s="321" t="s">
        <v>2110</v>
      </c>
      <c r="E232" s="280">
        <v>4599.8999999999996</v>
      </c>
      <c r="F232" s="280">
        <f t="shared" si="11"/>
        <v>4599.8999999999996</v>
      </c>
    </row>
    <row r="233" spans="1:6" ht="56.25">
      <c r="A233" s="190">
        <v>227</v>
      </c>
      <c r="B233" s="190"/>
      <c r="C233" s="377" t="s">
        <v>3277</v>
      </c>
      <c r="D233" s="190"/>
      <c r="E233" s="280"/>
      <c r="F233" s="280"/>
    </row>
    <row r="234" spans="1:6" ht="18">
      <c r="A234" s="190">
        <v>228</v>
      </c>
      <c r="B234" s="190">
        <v>214</v>
      </c>
      <c r="C234" s="345" t="s">
        <v>3278</v>
      </c>
      <c r="D234" s="321" t="s">
        <v>2110</v>
      </c>
      <c r="E234" s="462">
        <v>914.6</v>
      </c>
      <c r="F234" s="280">
        <f t="shared" si="11"/>
        <v>914.6</v>
      </c>
    </row>
    <row r="235" spans="1:6" ht="18">
      <c r="A235" s="190">
        <v>229</v>
      </c>
      <c r="B235" s="190">
        <f>B234+1</f>
        <v>215</v>
      </c>
      <c r="C235" s="345" t="s">
        <v>3279</v>
      </c>
      <c r="D235" s="321" t="s">
        <v>2110</v>
      </c>
      <c r="E235" s="462">
        <v>1129.8</v>
      </c>
      <c r="F235" s="280">
        <f t="shared" si="11"/>
        <v>1129.8</v>
      </c>
    </row>
    <row r="236" spans="1:6" ht="18">
      <c r="A236" s="190">
        <v>230</v>
      </c>
      <c r="B236" s="190">
        <f>B235+1</f>
        <v>216</v>
      </c>
      <c r="C236" s="345" t="s">
        <v>3280</v>
      </c>
      <c r="D236" s="321" t="s">
        <v>2110</v>
      </c>
      <c r="E236" s="462">
        <v>1452.6</v>
      </c>
      <c r="F236" s="280">
        <f t="shared" si="11"/>
        <v>1452.6</v>
      </c>
    </row>
    <row r="237" spans="1:6" ht="18">
      <c r="A237" s="190">
        <v>231</v>
      </c>
      <c r="B237" s="667">
        <f>B236+1</f>
        <v>217</v>
      </c>
      <c r="C237" s="812" t="s">
        <v>3281</v>
      </c>
      <c r="D237" s="813" t="s">
        <v>2110</v>
      </c>
      <c r="E237" s="667">
        <v>914.6</v>
      </c>
      <c r="F237" s="878">
        <f t="shared" si="11"/>
        <v>914.6</v>
      </c>
    </row>
    <row r="238" spans="1:6" ht="18">
      <c r="A238" s="190">
        <v>232</v>
      </c>
      <c r="B238" s="190">
        <f>B237+1</f>
        <v>218</v>
      </c>
      <c r="C238" s="345" t="s">
        <v>3282</v>
      </c>
      <c r="D238" s="321" t="s">
        <v>2110</v>
      </c>
      <c r="E238" s="462">
        <v>236.72</v>
      </c>
      <c r="F238" s="280">
        <f t="shared" si="11"/>
        <v>236.72</v>
      </c>
    </row>
    <row r="239" spans="1:6" ht="19.5" customHeight="1">
      <c r="A239" s="190">
        <v>233</v>
      </c>
      <c r="B239" s="190"/>
      <c r="C239" s="377" t="s">
        <v>2801</v>
      </c>
      <c r="D239" s="190"/>
      <c r="E239" s="280"/>
      <c r="F239" s="280"/>
    </row>
    <row r="240" spans="1:6" ht="19.5" customHeight="1">
      <c r="A240" s="190">
        <v>234</v>
      </c>
      <c r="B240" s="190">
        <v>219</v>
      </c>
      <c r="C240" s="345" t="s">
        <v>3089</v>
      </c>
      <c r="D240" s="321" t="s">
        <v>803</v>
      </c>
      <c r="E240" s="190">
        <v>67</v>
      </c>
      <c r="F240" s="280">
        <f t="shared" si="11"/>
        <v>67</v>
      </c>
    </row>
    <row r="241" spans="1:8" ht="19.5" customHeight="1">
      <c r="A241" s="190">
        <v>235</v>
      </c>
      <c r="B241" s="190">
        <f>B240+1</f>
        <v>220</v>
      </c>
      <c r="C241" s="345" t="s">
        <v>3090</v>
      </c>
      <c r="D241" s="321" t="s">
        <v>803</v>
      </c>
      <c r="E241" s="190">
        <v>272</v>
      </c>
      <c r="F241" s="280">
        <f t="shared" si="11"/>
        <v>272</v>
      </c>
    </row>
    <row r="242" spans="1:8" ht="19.5" customHeight="1">
      <c r="A242" s="190">
        <v>236</v>
      </c>
      <c r="B242" s="190">
        <f>B241+1</f>
        <v>221</v>
      </c>
      <c r="C242" s="345" t="s">
        <v>2802</v>
      </c>
      <c r="D242" s="321" t="s">
        <v>803</v>
      </c>
      <c r="E242" s="190">
        <v>102</v>
      </c>
      <c r="F242" s="280">
        <f t="shared" si="11"/>
        <v>102</v>
      </c>
    </row>
    <row r="243" spans="1:8" ht="19.5" customHeight="1">
      <c r="A243" s="190">
        <v>237</v>
      </c>
      <c r="B243" s="190">
        <f>B242+1</f>
        <v>222</v>
      </c>
      <c r="C243" s="345" t="s">
        <v>2803</v>
      </c>
      <c r="D243" s="321" t="s">
        <v>2110</v>
      </c>
      <c r="E243" s="190">
        <v>129.12</v>
      </c>
      <c r="F243" s="280">
        <f t="shared" si="11"/>
        <v>129.12</v>
      </c>
    </row>
    <row r="244" spans="1:8" ht="19.5" customHeight="1">
      <c r="A244" s="190">
        <v>238</v>
      </c>
      <c r="B244" s="190">
        <f>B243+1</f>
        <v>223</v>
      </c>
      <c r="C244" s="345" t="s">
        <v>318</v>
      </c>
      <c r="D244" s="321" t="s">
        <v>2110</v>
      </c>
      <c r="E244" s="190">
        <v>150.63999999999999</v>
      </c>
      <c r="F244" s="280">
        <f t="shared" si="11"/>
        <v>150.63999999999999</v>
      </c>
    </row>
    <row r="245" spans="1:8" ht="19.5" customHeight="1">
      <c r="A245" s="190">
        <v>239</v>
      </c>
      <c r="B245" s="190">
        <f>B244+1</f>
        <v>224</v>
      </c>
      <c r="C245" s="345" t="s">
        <v>319</v>
      </c>
      <c r="D245" s="362" t="s">
        <v>3136</v>
      </c>
      <c r="E245" s="280">
        <v>327</v>
      </c>
      <c r="F245" s="280">
        <f t="shared" si="11"/>
        <v>327</v>
      </c>
    </row>
    <row r="246" spans="1:8" ht="19.5" customHeight="1">
      <c r="A246" s="190">
        <v>240</v>
      </c>
      <c r="B246" s="190"/>
      <c r="C246" s="377" t="s">
        <v>320</v>
      </c>
      <c r="D246" s="190"/>
      <c r="E246" s="280"/>
      <c r="F246" s="280"/>
    </row>
    <row r="247" spans="1:8" ht="19.5" customHeight="1">
      <c r="A247" s="190">
        <v>241</v>
      </c>
      <c r="B247" s="190">
        <v>225</v>
      </c>
      <c r="C247" s="345" t="s">
        <v>321</v>
      </c>
      <c r="D247" s="321" t="s">
        <v>2110</v>
      </c>
      <c r="E247" s="190">
        <v>226.41</v>
      </c>
      <c r="F247" s="280">
        <f t="shared" si="11"/>
        <v>226.41</v>
      </c>
    </row>
    <row r="248" spans="1:8" ht="19.5" customHeight="1">
      <c r="A248" s="190">
        <v>242</v>
      </c>
      <c r="B248" s="190">
        <f>B247+1</f>
        <v>226</v>
      </c>
      <c r="C248" s="345" t="s">
        <v>323</v>
      </c>
      <c r="D248" s="321" t="s">
        <v>2110</v>
      </c>
      <c r="E248" s="190">
        <v>75.319999999999993</v>
      </c>
      <c r="F248" s="280">
        <f t="shared" si="11"/>
        <v>75.319999999999993</v>
      </c>
    </row>
    <row r="249" spans="1:8" ht="19.5" customHeight="1">
      <c r="A249" s="190">
        <v>243</v>
      </c>
      <c r="B249" s="190">
        <f>B248+1</f>
        <v>227</v>
      </c>
      <c r="C249" s="345" t="s">
        <v>324</v>
      </c>
      <c r="D249" s="362" t="s">
        <v>3136</v>
      </c>
      <c r="E249" s="280">
        <v>105</v>
      </c>
      <c r="F249" s="280">
        <f t="shared" si="11"/>
        <v>105</v>
      </c>
    </row>
    <row r="250" spans="1:8" ht="19.5" customHeight="1">
      <c r="A250" s="190">
        <v>244</v>
      </c>
      <c r="B250" s="190"/>
      <c r="C250" s="915" t="s">
        <v>335</v>
      </c>
      <c r="D250" s="190"/>
      <c r="E250" s="280"/>
      <c r="F250" s="280"/>
    </row>
    <row r="251" spans="1:8" ht="43.5" customHeight="1">
      <c r="A251" s="190">
        <v>245</v>
      </c>
      <c r="B251" s="190">
        <v>228</v>
      </c>
      <c r="C251" s="345" t="s">
        <v>691</v>
      </c>
      <c r="D251" s="336" t="s">
        <v>1134</v>
      </c>
      <c r="E251" s="280">
        <v>574.75</v>
      </c>
      <c r="F251" s="280">
        <f t="shared" si="11"/>
        <v>574.75</v>
      </c>
    </row>
    <row r="252" spans="1:8" ht="43.5" customHeight="1">
      <c r="A252" s="190">
        <v>246</v>
      </c>
      <c r="B252" s="190">
        <f>B251+1</f>
        <v>229</v>
      </c>
      <c r="C252" s="345" t="s">
        <v>692</v>
      </c>
      <c r="D252" s="336" t="s">
        <v>1134</v>
      </c>
      <c r="E252" s="280">
        <v>627</v>
      </c>
      <c r="F252" s="280">
        <f t="shared" si="11"/>
        <v>627</v>
      </c>
    </row>
    <row r="253" spans="1:8" ht="43.5" customHeight="1">
      <c r="A253" s="190">
        <v>247</v>
      </c>
      <c r="B253" s="190">
        <f t="shared" ref="B253:B264" si="13">B252+1</f>
        <v>230</v>
      </c>
      <c r="C253" s="345" t="s">
        <v>693</v>
      </c>
      <c r="D253" s="321" t="s">
        <v>1101</v>
      </c>
      <c r="E253" s="280">
        <v>1713.8</v>
      </c>
      <c r="F253" s="280">
        <f t="shared" si="11"/>
        <v>1713.8</v>
      </c>
      <c r="H253" s="2">
        <f>E253*3.28</f>
        <v>5621.2639999999992</v>
      </c>
    </row>
    <row r="254" spans="1:8" ht="43.5" customHeight="1">
      <c r="A254" s="190">
        <v>248</v>
      </c>
      <c r="B254" s="190">
        <f t="shared" si="13"/>
        <v>231</v>
      </c>
      <c r="C254" s="345" t="s">
        <v>694</v>
      </c>
      <c r="D254" s="336" t="s">
        <v>1134</v>
      </c>
      <c r="E254" s="280">
        <v>2299</v>
      </c>
      <c r="F254" s="280">
        <f t="shared" si="11"/>
        <v>2299</v>
      </c>
    </row>
    <row r="255" spans="1:8" ht="43.5" customHeight="1">
      <c r="A255" s="190">
        <v>249</v>
      </c>
      <c r="B255" s="190">
        <f t="shared" si="13"/>
        <v>232</v>
      </c>
      <c r="C255" s="345" t="s">
        <v>695</v>
      </c>
      <c r="D255" s="336" t="s">
        <v>1134</v>
      </c>
      <c r="E255" s="280">
        <v>7315</v>
      </c>
      <c r="F255" s="280">
        <f t="shared" si="11"/>
        <v>7315</v>
      </c>
    </row>
    <row r="256" spans="1:8" ht="43.5" customHeight="1">
      <c r="A256" s="190">
        <v>250</v>
      </c>
      <c r="B256" s="190">
        <f t="shared" si="13"/>
        <v>233</v>
      </c>
      <c r="C256" s="345" t="s">
        <v>3304</v>
      </c>
      <c r="D256" s="336" t="s">
        <v>1134</v>
      </c>
      <c r="E256" s="280">
        <v>8360</v>
      </c>
      <c r="F256" s="280">
        <f t="shared" si="11"/>
        <v>8360</v>
      </c>
    </row>
    <row r="257" spans="1:6" ht="48.75">
      <c r="A257" s="190">
        <v>251</v>
      </c>
      <c r="B257" s="190">
        <f t="shared" si="13"/>
        <v>234</v>
      </c>
      <c r="C257" s="345" t="s">
        <v>3305</v>
      </c>
      <c r="D257" s="321" t="s">
        <v>2110</v>
      </c>
      <c r="E257" s="280">
        <v>16866.3</v>
      </c>
      <c r="F257" s="280">
        <f t="shared" si="11"/>
        <v>16866.3</v>
      </c>
    </row>
    <row r="258" spans="1:6" ht="33">
      <c r="A258" s="190">
        <v>252</v>
      </c>
      <c r="B258" s="190">
        <f t="shared" si="13"/>
        <v>235</v>
      </c>
      <c r="C258" s="345" t="s">
        <v>3306</v>
      </c>
      <c r="D258" s="336" t="s">
        <v>803</v>
      </c>
      <c r="E258" s="280">
        <v>3657.5</v>
      </c>
      <c r="F258" s="280">
        <f t="shared" si="11"/>
        <v>3657.5</v>
      </c>
    </row>
    <row r="259" spans="1:6" ht="18">
      <c r="A259" s="190">
        <v>253</v>
      </c>
      <c r="B259" s="190">
        <f t="shared" si="13"/>
        <v>236</v>
      </c>
      <c r="C259" s="345" t="s">
        <v>2043</v>
      </c>
      <c r="D259" s="321" t="s">
        <v>2110</v>
      </c>
      <c r="E259" s="280">
        <v>5622.1</v>
      </c>
      <c r="F259" s="280">
        <f t="shared" si="11"/>
        <v>5622.1</v>
      </c>
    </row>
    <row r="260" spans="1:6" ht="18">
      <c r="A260" s="190">
        <v>254</v>
      </c>
      <c r="B260" s="190">
        <f t="shared" si="13"/>
        <v>237</v>
      </c>
      <c r="C260" s="345" t="s">
        <v>2044</v>
      </c>
      <c r="D260" s="321" t="s">
        <v>2110</v>
      </c>
      <c r="E260" s="280">
        <v>7870.94</v>
      </c>
      <c r="F260" s="280">
        <f t="shared" si="11"/>
        <v>7870.94</v>
      </c>
    </row>
    <row r="261" spans="1:6" ht="18">
      <c r="A261" s="190">
        <v>255</v>
      </c>
      <c r="B261" s="190">
        <f t="shared" si="13"/>
        <v>238</v>
      </c>
      <c r="C261" s="345" t="s">
        <v>2982</v>
      </c>
      <c r="D261" s="321" t="s">
        <v>2110</v>
      </c>
      <c r="E261" s="280">
        <v>16866.3</v>
      </c>
      <c r="F261" s="280">
        <f t="shared" si="11"/>
        <v>16866.3</v>
      </c>
    </row>
    <row r="262" spans="1:6" ht="18">
      <c r="A262" s="190">
        <v>256</v>
      </c>
      <c r="B262" s="190">
        <f t="shared" si="13"/>
        <v>239</v>
      </c>
      <c r="C262" s="345" t="s">
        <v>958</v>
      </c>
      <c r="D262" s="321" t="s">
        <v>1101</v>
      </c>
      <c r="E262" s="280">
        <v>1199.6600000000001</v>
      </c>
      <c r="F262" s="280">
        <f t="shared" si="11"/>
        <v>1199.6600000000001</v>
      </c>
    </row>
    <row r="263" spans="1:6" ht="43.5" customHeight="1">
      <c r="A263" s="190">
        <v>257</v>
      </c>
      <c r="B263" s="190">
        <f t="shared" si="13"/>
        <v>240</v>
      </c>
      <c r="C263" s="345" t="s">
        <v>959</v>
      </c>
      <c r="D263" s="321" t="s">
        <v>1101</v>
      </c>
      <c r="E263" s="280">
        <v>2056.56</v>
      </c>
      <c r="F263" s="280">
        <f t="shared" si="11"/>
        <v>2056.56</v>
      </c>
    </row>
    <row r="264" spans="1:6" ht="34.5">
      <c r="A264" s="190">
        <v>258</v>
      </c>
      <c r="B264" s="190">
        <f t="shared" si="13"/>
        <v>241</v>
      </c>
      <c r="C264" s="345" t="s">
        <v>2580</v>
      </c>
      <c r="D264" s="321" t="s">
        <v>1101</v>
      </c>
      <c r="E264" s="280">
        <v>1713.8</v>
      </c>
      <c r="F264" s="280">
        <f t="shared" si="11"/>
        <v>1713.8</v>
      </c>
    </row>
    <row r="265" spans="1:6" ht="18">
      <c r="A265" s="190">
        <v>259</v>
      </c>
      <c r="B265" s="190"/>
      <c r="C265" s="915" t="s">
        <v>336</v>
      </c>
      <c r="D265" s="190"/>
      <c r="E265" s="280"/>
      <c r="F265" s="280"/>
    </row>
    <row r="266" spans="1:6" ht="18.75">
      <c r="A266" s="190">
        <v>260</v>
      </c>
      <c r="B266" s="190">
        <v>242</v>
      </c>
      <c r="C266" s="326" t="s">
        <v>2581</v>
      </c>
      <c r="D266" s="321" t="s">
        <v>1134</v>
      </c>
      <c r="E266" s="280">
        <v>25</v>
      </c>
      <c r="F266" s="280">
        <f t="shared" si="11"/>
        <v>25</v>
      </c>
    </row>
    <row r="267" spans="1:6" ht="18.75">
      <c r="A267" s="190">
        <v>261</v>
      </c>
      <c r="B267" s="190">
        <f>B266+1</f>
        <v>243</v>
      </c>
      <c r="C267" s="326" t="s">
        <v>2582</v>
      </c>
      <c r="D267" s="321" t="s">
        <v>1134</v>
      </c>
      <c r="E267" s="280">
        <v>20</v>
      </c>
      <c r="F267" s="280">
        <f t="shared" si="11"/>
        <v>20</v>
      </c>
    </row>
    <row r="268" spans="1:6" ht="18">
      <c r="A268" s="190">
        <v>262</v>
      </c>
      <c r="B268" s="190">
        <f t="shared" ref="B268:B313" si="14">B267+1</f>
        <v>244</v>
      </c>
      <c r="C268" s="326" t="s">
        <v>337</v>
      </c>
      <c r="D268" s="321" t="s">
        <v>1134</v>
      </c>
      <c r="E268" s="280">
        <v>20</v>
      </c>
      <c r="F268" s="280">
        <f t="shared" si="11"/>
        <v>20</v>
      </c>
    </row>
    <row r="269" spans="1:6" ht="18">
      <c r="A269" s="190">
        <v>263</v>
      </c>
      <c r="B269" s="190">
        <f t="shared" si="14"/>
        <v>245</v>
      </c>
      <c r="C269" s="326" t="s">
        <v>338</v>
      </c>
      <c r="D269" s="321" t="s">
        <v>1134</v>
      </c>
      <c r="E269" s="280">
        <v>20</v>
      </c>
      <c r="F269" s="280">
        <f t="shared" si="11"/>
        <v>20</v>
      </c>
    </row>
    <row r="270" spans="1:6" ht="18.75">
      <c r="A270" s="190">
        <v>264</v>
      </c>
      <c r="B270" s="190">
        <f t="shared" si="14"/>
        <v>246</v>
      </c>
      <c r="C270" s="326" t="s">
        <v>2583</v>
      </c>
      <c r="D270" s="321" t="s">
        <v>1134</v>
      </c>
      <c r="E270" s="280">
        <v>7</v>
      </c>
      <c r="F270" s="280">
        <f t="shared" si="11"/>
        <v>7</v>
      </c>
    </row>
    <row r="271" spans="1:6" ht="18">
      <c r="A271" s="190">
        <v>265</v>
      </c>
      <c r="B271" s="190">
        <f t="shared" si="14"/>
        <v>247</v>
      </c>
      <c r="C271" s="326" t="s">
        <v>2584</v>
      </c>
      <c r="D271" s="321" t="s">
        <v>1134</v>
      </c>
      <c r="E271" s="280">
        <v>18</v>
      </c>
      <c r="F271" s="280">
        <f t="shared" si="11"/>
        <v>18</v>
      </c>
    </row>
    <row r="272" spans="1:6" ht="18.75">
      <c r="A272" s="190">
        <v>266</v>
      </c>
      <c r="B272" s="190">
        <f t="shared" si="14"/>
        <v>248</v>
      </c>
      <c r="C272" s="326" t="s">
        <v>2585</v>
      </c>
      <c r="D272" s="321" t="s">
        <v>1134</v>
      </c>
      <c r="E272" s="280">
        <v>13</v>
      </c>
      <c r="F272" s="280">
        <f t="shared" si="11"/>
        <v>13</v>
      </c>
    </row>
    <row r="273" spans="1:6" ht="18.75">
      <c r="A273" s="190">
        <v>267</v>
      </c>
      <c r="B273" s="190">
        <f t="shared" si="14"/>
        <v>249</v>
      </c>
      <c r="C273" s="326" t="s">
        <v>2586</v>
      </c>
      <c r="D273" s="321" t="s">
        <v>1134</v>
      </c>
      <c r="E273" s="280">
        <v>20</v>
      </c>
      <c r="F273" s="280">
        <f t="shared" si="11"/>
        <v>20</v>
      </c>
    </row>
    <row r="274" spans="1:6" ht="18">
      <c r="A274" s="190">
        <v>268</v>
      </c>
      <c r="B274" s="190">
        <f t="shared" si="14"/>
        <v>250</v>
      </c>
      <c r="C274" s="326" t="s">
        <v>2587</v>
      </c>
      <c r="D274" s="321" t="s">
        <v>1134</v>
      </c>
      <c r="E274" s="280">
        <v>50</v>
      </c>
      <c r="F274" s="280">
        <f t="shared" si="11"/>
        <v>50</v>
      </c>
    </row>
    <row r="275" spans="1:6" ht="18">
      <c r="A275" s="190">
        <v>269</v>
      </c>
      <c r="B275" s="190">
        <f t="shared" si="14"/>
        <v>251</v>
      </c>
      <c r="C275" s="326" t="s">
        <v>1500</v>
      </c>
      <c r="D275" s="321" t="s">
        <v>1134</v>
      </c>
      <c r="E275" s="280">
        <v>15</v>
      </c>
      <c r="F275" s="280">
        <f t="shared" ref="F275:F338" si="15">E275</f>
        <v>15</v>
      </c>
    </row>
    <row r="276" spans="1:6" ht="18">
      <c r="A276" s="190">
        <v>270</v>
      </c>
      <c r="B276" s="190">
        <f t="shared" si="14"/>
        <v>252</v>
      </c>
      <c r="C276" s="916" t="s">
        <v>1501</v>
      </c>
      <c r="D276" s="321" t="s">
        <v>1134</v>
      </c>
      <c r="E276" s="280">
        <v>10</v>
      </c>
      <c r="F276" s="280">
        <f t="shared" si="15"/>
        <v>10</v>
      </c>
    </row>
    <row r="277" spans="1:6" ht="18">
      <c r="A277" s="190">
        <v>271</v>
      </c>
      <c r="B277" s="190">
        <f t="shared" si="14"/>
        <v>253</v>
      </c>
      <c r="C277" s="326" t="s">
        <v>1502</v>
      </c>
      <c r="D277" s="321" t="s">
        <v>1134</v>
      </c>
      <c r="E277" s="280">
        <v>3</v>
      </c>
      <c r="F277" s="280">
        <f t="shared" si="15"/>
        <v>3</v>
      </c>
    </row>
    <row r="278" spans="1:6" ht="18">
      <c r="A278" s="190">
        <v>272</v>
      </c>
      <c r="B278" s="190">
        <f t="shared" si="14"/>
        <v>254</v>
      </c>
      <c r="C278" s="326" t="s">
        <v>1503</v>
      </c>
      <c r="D278" s="321" t="s">
        <v>1134</v>
      </c>
      <c r="E278" s="280">
        <v>35</v>
      </c>
      <c r="F278" s="280">
        <f t="shared" si="15"/>
        <v>35</v>
      </c>
    </row>
    <row r="279" spans="1:6" ht="18">
      <c r="A279" s="190">
        <v>273</v>
      </c>
      <c r="B279" s="190">
        <f t="shared" si="14"/>
        <v>255</v>
      </c>
      <c r="C279" s="326" t="s">
        <v>1539</v>
      </c>
      <c r="D279" s="321" t="s">
        <v>1134</v>
      </c>
      <c r="E279" s="280"/>
      <c r="F279" s="280"/>
    </row>
    <row r="280" spans="1:6" ht="18">
      <c r="A280" s="190">
        <v>274</v>
      </c>
      <c r="B280" s="190">
        <f t="shared" si="14"/>
        <v>256</v>
      </c>
      <c r="C280" s="326" t="s">
        <v>1118</v>
      </c>
      <c r="D280" s="321" t="s">
        <v>1134</v>
      </c>
      <c r="E280" s="280"/>
      <c r="F280" s="280"/>
    </row>
    <row r="281" spans="1:6" ht="19.5" customHeight="1">
      <c r="A281" s="190">
        <v>275</v>
      </c>
      <c r="B281" s="190">
        <f t="shared" si="14"/>
        <v>257</v>
      </c>
      <c r="C281" s="326" t="s">
        <v>1119</v>
      </c>
      <c r="D281" s="321" t="s">
        <v>1134</v>
      </c>
      <c r="E281" s="280"/>
      <c r="F281" s="280"/>
    </row>
    <row r="282" spans="1:6" ht="19.5" customHeight="1">
      <c r="A282" s="190">
        <v>276</v>
      </c>
      <c r="B282" s="190">
        <f t="shared" si="14"/>
        <v>258</v>
      </c>
      <c r="C282" s="326" t="s">
        <v>1120</v>
      </c>
      <c r="D282" s="321" t="s">
        <v>1134</v>
      </c>
      <c r="E282" s="882">
        <v>100</v>
      </c>
      <c r="F282" s="280">
        <f t="shared" si="15"/>
        <v>100</v>
      </c>
    </row>
    <row r="283" spans="1:6" ht="19.5" customHeight="1">
      <c r="A283" s="190">
        <v>277</v>
      </c>
      <c r="B283" s="190">
        <f t="shared" si="14"/>
        <v>259</v>
      </c>
      <c r="C283" s="326" t="s">
        <v>1121</v>
      </c>
      <c r="D283" s="321" t="s">
        <v>1134</v>
      </c>
      <c r="E283" s="882">
        <v>200</v>
      </c>
      <c r="F283" s="280">
        <f t="shared" si="15"/>
        <v>200</v>
      </c>
    </row>
    <row r="284" spans="1:6" ht="19.5" customHeight="1">
      <c r="A284" s="190">
        <v>278</v>
      </c>
      <c r="B284" s="190">
        <f t="shared" si="14"/>
        <v>260</v>
      </c>
      <c r="C284" s="326" t="s">
        <v>1122</v>
      </c>
      <c r="D284" s="821"/>
      <c r="E284" s="280"/>
      <c r="F284" s="280"/>
    </row>
    <row r="285" spans="1:6" ht="19.5" customHeight="1">
      <c r="A285" s="190">
        <v>279</v>
      </c>
      <c r="B285" s="190">
        <f t="shared" si="14"/>
        <v>261</v>
      </c>
      <c r="C285" s="326" t="s">
        <v>2588</v>
      </c>
      <c r="D285" s="321" t="s">
        <v>1134</v>
      </c>
      <c r="E285" s="280">
        <v>600</v>
      </c>
      <c r="F285" s="280">
        <f t="shared" si="15"/>
        <v>600</v>
      </c>
    </row>
    <row r="286" spans="1:6" ht="19.5" customHeight="1">
      <c r="A286" s="190">
        <v>280</v>
      </c>
      <c r="B286" s="190">
        <f t="shared" si="14"/>
        <v>262</v>
      </c>
      <c r="C286" s="326" t="s">
        <v>2589</v>
      </c>
      <c r="D286" s="321" t="s">
        <v>1134</v>
      </c>
      <c r="E286" s="280">
        <v>600</v>
      </c>
      <c r="F286" s="280">
        <f t="shared" si="15"/>
        <v>600</v>
      </c>
    </row>
    <row r="287" spans="1:6" ht="19.5" customHeight="1">
      <c r="A287" s="190">
        <v>281</v>
      </c>
      <c r="B287" s="190">
        <f t="shared" si="14"/>
        <v>263</v>
      </c>
      <c r="C287" s="326" t="s">
        <v>1123</v>
      </c>
      <c r="D287" s="321" t="s">
        <v>1134</v>
      </c>
      <c r="E287" s="878">
        <v>17</v>
      </c>
      <c r="F287" s="280">
        <f t="shared" si="15"/>
        <v>17</v>
      </c>
    </row>
    <row r="288" spans="1:6" ht="19.5" customHeight="1">
      <c r="A288" s="190">
        <v>282</v>
      </c>
      <c r="B288" s="190">
        <f t="shared" si="14"/>
        <v>264</v>
      </c>
      <c r="C288" s="326" t="s">
        <v>2590</v>
      </c>
      <c r="D288" s="321" t="s">
        <v>1134</v>
      </c>
      <c r="E288" s="280"/>
      <c r="F288" s="280"/>
    </row>
    <row r="289" spans="1:6" ht="19.5" customHeight="1">
      <c r="A289" s="190">
        <v>283</v>
      </c>
      <c r="B289" s="190">
        <f t="shared" si="14"/>
        <v>265</v>
      </c>
      <c r="C289" s="326" t="s">
        <v>2591</v>
      </c>
      <c r="D289" s="321" t="s">
        <v>1134</v>
      </c>
      <c r="E289" s="280">
        <v>150</v>
      </c>
      <c r="F289" s="280">
        <f t="shared" si="15"/>
        <v>150</v>
      </c>
    </row>
    <row r="290" spans="1:6" ht="19.5" customHeight="1">
      <c r="A290" s="190">
        <v>284</v>
      </c>
      <c r="B290" s="190">
        <f t="shared" si="14"/>
        <v>266</v>
      </c>
      <c r="C290" s="326" t="s">
        <v>2592</v>
      </c>
      <c r="D290" s="321" t="s">
        <v>1134</v>
      </c>
      <c r="E290" s="280">
        <v>125</v>
      </c>
      <c r="F290" s="280">
        <f t="shared" si="15"/>
        <v>125</v>
      </c>
    </row>
    <row r="291" spans="1:6" ht="19.5" customHeight="1">
      <c r="A291" s="190">
        <v>285</v>
      </c>
      <c r="B291" s="190">
        <f t="shared" si="14"/>
        <v>267</v>
      </c>
      <c r="C291" s="326" t="s">
        <v>2593</v>
      </c>
      <c r="D291" s="321" t="s">
        <v>1134</v>
      </c>
      <c r="E291" s="280">
        <v>12</v>
      </c>
      <c r="F291" s="280">
        <f t="shared" si="15"/>
        <v>12</v>
      </c>
    </row>
    <row r="292" spans="1:6" ht="19.5" customHeight="1">
      <c r="A292" s="190">
        <v>286</v>
      </c>
      <c r="B292" s="190">
        <f t="shared" si="14"/>
        <v>268</v>
      </c>
      <c r="C292" s="326" t="s">
        <v>2594</v>
      </c>
      <c r="D292" s="321" t="s">
        <v>1134</v>
      </c>
      <c r="E292" s="280">
        <v>9</v>
      </c>
      <c r="F292" s="280">
        <f t="shared" si="15"/>
        <v>9</v>
      </c>
    </row>
    <row r="293" spans="1:6" ht="19.5" customHeight="1">
      <c r="A293" s="190">
        <v>287</v>
      </c>
      <c r="B293" s="190">
        <f t="shared" si="14"/>
        <v>269</v>
      </c>
      <c r="C293" s="326" t="s">
        <v>2595</v>
      </c>
      <c r="D293" s="321" t="s">
        <v>1134</v>
      </c>
      <c r="E293" s="280">
        <v>17</v>
      </c>
      <c r="F293" s="280">
        <f t="shared" si="15"/>
        <v>17</v>
      </c>
    </row>
    <row r="294" spans="1:6" ht="19.5" customHeight="1">
      <c r="A294" s="190">
        <v>288</v>
      </c>
      <c r="B294" s="190">
        <f t="shared" si="14"/>
        <v>270</v>
      </c>
      <c r="C294" s="326" t="s">
        <v>2596</v>
      </c>
      <c r="D294" s="321" t="s">
        <v>1134</v>
      </c>
      <c r="E294" s="280">
        <v>12</v>
      </c>
      <c r="F294" s="280">
        <f t="shared" si="15"/>
        <v>12</v>
      </c>
    </row>
    <row r="295" spans="1:6" ht="19.5" customHeight="1">
      <c r="A295" s="190">
        <v>289</v>
      </c>
      <c r="B295" s="190">
        <f t="shared" si="14"/>
        <v>271</v>
      </c>
      <c r="C295" s="326" t="s">
        <v>1124</v>
      </c>
      <c r="D295" s="321" t="s">
        <v>1134</v>
      </c>
      <c r="E295" s="280">
        <v>25</v>
      </c>
      <c r="F295" s="280">
        <f t="shared" si="15"/>
        <v>25</v>
      </c>
    </row>
    <row r="296" spans="1:6" ht="19.5" customHeight="1">
      <c r="A296" s="190">
        <v>290</v>
      </c>
      <c r="B296" s="190">
        <f t="shared" si="14"/>
        <v>272</v>
      </c>
      <c r="C296" s="326" t="s">
        <v>3416</v>
      </c>
      <c r="D296" s="321" t="s">
        <v>1134</v>
      </c>
      <c r="E296" s="280">
        <v>37</v>
      </c>
      <c r="F296" s="280">
        <f t="shared" si="15"/>
        <v>37</v>
      </c>
    </row>
    <row r="297" spans="1:6" ht="19.5" customHeight="1">
      <c r="A297" s="190">
        <v>291</v>
      </c>
      <c r="B297" s="190">
        <f t="shared" si="14"/>
        <v>273</v>
      </c>
      <c r="C297" s="908" t="s">
        <v>3616</v>
      </c>
      <c r="D297" s="321" t="s">
        <v>1134</v>
      </c>
      <c r="E297" s="280">
        <v>150</v>
      </c>
      <c r="F297" s="280">
        <f t="shared" si="15"/>
        <v>150</v>
      </c>
    </row>
    <row r="298" spans="1:6" ht="19.5" customHeight="1">
      <c r="A298" s="190">
        <v>292</v>
      </c>
      <c r="B298" s="190">
        <f t="shared" si="14"/>
        <v>274</v>
      </c>
      <c r="C298" s="326" t="s">
        <v>3417</v>
      </c>
      <c r="D298" s="321" t="s">
        <v>1134</v>
      </c>
      <c r="E298" s="878">
        <v>30</v>
      </c>
      <c r="F298" s="280">
        <f t="shared" si="15"/>
        <v>30</v>
      </c>
    </row>
    <row r="299" spans="1:6" ht="19.5" customHeight="1">
      <c r="A299" s="190">
        <v>293</v>
      </c>
      <c r="B299" s="190">
        <f t="shared" si="14"/>
        <v>275</v>
      </c>
      <c r="C299" s="326" t="s">
        <v>3617</v>
      </c>
      <c r="D299" s="321" t="s">
        <v>1134</v>
      </c>
      <c r="E299" s="878">
        <v>50</v>
      </c>
      <c r="F299" s="280">
        <f t="shared" si="15"/>
        <v>50</v>
      </c>
    </row>
    <row r="300" spans="1:6" ht="19.5" customHeight="1">
      <c r="A300" s="190">
        <v>294</v>
      </c>
      <c r="B300" s="190">
        <f t="shared" si="14"/>
        <v>276</v>
      </c>
      <c r="C300" s="326" t="s">
        <v>3618</v>
      </c>
      <c r="D300" s="321" t="s">
        <v>1134</v>
      </c>
      <c r="E300" s="280">
        <v>1400</v>
      </c>
      <c r="F300" s="280">
        <f t="shared" si="15"/>
        <v>1400</v>
      </c>
    </row>
    <row r="301" spans="1:6" ht="19.5" customHeight="1">
      <c r="A301" s="190">
        <v>295</v>
      </c>
      <c r="B301" s="190">
        <f t="shared" si="14"/>
        <v>277</v>
      </c>
      <c r="C301" s="326" t="s">
        <v>3619</v>
      </c>
      <c r="D301" s="321" t="s">
        <v>1134</v>
      </c>
      <c r="E301" s="280">
        <v>950</v>
      </c>
      <c r="F301" s="280">
        <f t="shared" si="15"/>
        <v>950</v>
      </c>
    </row>
    <row r="302" spans="1:6" ht="19.5" customHeight="1">
      <c r="A302" s="190">
        <v>296</v>
      </c>
      <c r="B302" s="190">
        <f t="shared" si="14"/>
        <v>278</v>
      </c>
      <c r="C302" s="326" t="s">
        <v>3620</v>
      </c>
      <c r="D302" s="321" t="s">
        <v>1134</v>
      </c>
      <c r="E302" s="280">
        <v>700</v>
      </c>
      <c r="F302" s="280">
        <f t="shared" si="15"/>
        <v>700</v>
      </c>
    </row>
    <row r="303" spans="1:6" ht="19.5" customHeight="1">
      <c r="A303" s="190">
        <v>297</v>
      </c>
      <c r="B303" s="190">
        <f t="shared" si="14"/>
        <v>279</v>
      </c>
      <c r="C303" s="326" t="s">
        <v>3418</v>
      </c>
      <c r="D303" s="321" t="s">
        <v>1134</v>
      </c>
      <c r="E303" s="878">
        <v>200</v>
      </c>
      <c r="F303" s="280">
        <f t="shared" si="15"/>
        <v>200</v>
      </c>
    </row>
    <row r="304" spans="1:6" ht="19.5" customHeight="1">
      <c r="A304" s="190">
        <v>298</v>
      </c>
      <c r="B304" s="190">
        <f t="shared" si="14"/>
        <v>280</v>
      </c>
      <c r="C304" s="326" t="s">
        <v>3419</v>
      </c>
      <c r="D304" s="321" t="s">
        <v>3420</v>
      </c>
      <c r="E304" s="878">
        <v>1100</v>
      </c>
      <c r="F304" s="280">
        <f t="shared" si="15"/>
        <v>1100</v>
      </c>
    </row>
    <row r="305" spans="1:6" ht="19.5" customHeight="1">
      <c r="A305" s="190">
        <v>299</v>
      </c>
      <c r="B305" s="190">
        <f t="shared" si="14"/>
        <v>281</v>
      </c>
      <c r="C305" s="326" t="s">
        <v>3421</v>
      </c>
      <c r="D305" s="321" t="s">
        <v>3420</v>
      </c>
      <c r="E305" s="878">
        <v>750</v>
      </c>
      <c r="F305" s="280">
        <f t="shared" si="15"/>
        <v>750</v>
      </c>
    </row>
    <row r="306" spans="1:6" ht="19.5" customHeight="1">
      <c r="A306" s="190">
        <v>300</v>
      </c>
      <c r="B306" s="190">
        <f t="shared" si="14"/>
        <v>282</v>
      </c>
      <c r="C306" s="326" t="s">
        <v>3422</v>
      </c>
      <c r="D306" s="814" t="s">
        <v>3947</v>
      </c>
      <c r="E306" s="878">
        <v>150</v>
      </c>
      <c r="F306" s="280">
        <f t="shared" si="15"/>
        <v>150</v>
      </c>
    </row>
    <row r="307" spans="1:6" ht="19.5" customHeight="1">
      <c r="A307" s="190">
        <v>301</v>
      </c>
      <c r="B307" s="190">
        <f t="shared" si="14"/>
        <v>283</v>
      </c>
      <c r="C307" s="326" t="s">
        <v>3424</v>
      </c>
      <c r="D307" s="321" t="s">
        <v>3425</v>
      </c>
      <c r="E307" s="878">
        <v>1200</v>
      </c>
      <c r="F307" s="280">
        <f t="shared" si="15"/>
        <v>1200</v>
      </c>
    </row>
    <row r="308" spans="1:6" ht="19.5" customHeight="1">
      <c r="A308" s="190">
        <v>302</v>
      </c>
      <c r="B308" s="190">
        <f t="shared" si="14"/>
        <v>284</v>
      </c>
      <c r="C308" s="326" t="s">
        <v>3621</v>
      </c>
      <c r="D308" s="321" t="s">
        <v>803</v>
      </c>
      <c r="E308" s="878">
        <v>412</v>
      </c>
      <c r="F308" s="280">
        <f t="shared" si="15"/>
        <v>412</v>
      </c>
    </row>
    <row r="309" spans="1:6" ht="19.5" customHeight="1">
      <c r="A309" s="190">
        <v>303</v>
      </c>
      <c r="B309" s="190">
        <f t="shared" si="14"/>
        <v>285</v>
      </c>
      <c r="C309" s="345" t="s">
        <v>3622</v>
      </c>
      <c r="D309" s="321" t="s">
        <v>803</v>
      </c>
      <c r="E309" s="878">
        <v>22</v>
      </c>
      <c r="F309" s="280">
        <f t="shared" si="15"/>
        <v>22</v>
      </c>
    </row>
    <row r="310" spans="1:6" ht="19.5" customHeight="1">
      <c r="A310" s="190">
        <v>304</v>
      </c>
      <c r="B310" s="190">
        <f t="shared" si="14"/>
        <v>286</v>
      </c>
      <c r="C310" s="908" t="s">
        <v>3623</v>
      </c>
      <c r="D310" s="321" t="s">
        <v>803</v>
      </c>
      <c r="E310" s="878">
        <v>65</v>
      </c>
      <c r="F310" s="280">
        <f t="shared" si="15"/>
        <v>65</v>
      </c>
    </row>
    <row r="311" spans="1:6" ht="19.5" customHeight="1">
      <c r="A311" s="190">
        <v>305</v>
      </c>
      <c r="B311" s="190">
        <f t="shared" si="14"/>
        <v>287</v>
      </c>
      <c r="C311" s="908" t="s">
        <v>3624</v>
      </c>
      <c r="D311" s="321" t="s">
        <v>803</v>
      </c>
      <c r="E311" s="878">
        <v>128</v>
      </c>
      <c r="F311" s="280">
        <f t="shared" si="15"/>
        <v>128</v>
      </c>
    </row>
    <row r="312" spans="1:6" ht="19.5" customHeight="1">
      <c r="A312" s="190">
        <v>306</v>
      </c>
      <c r="B312" s="190">
        <f t="shared" si="14"/>
        <v>288</v>
      </c>
      <c r="C312" s="908" t="s">
        <v>3625</v>
      </c>
      <c r="D312" s="321" t="s">
        <v>2530</v>
      </c>
      <c r="E312" s="883">
        <v>1000</v>
      </c>
      <c r="F312" s="280">
        <f t="shared" si="15"/>
        <v>1000</v>
      </c>
    </row>
    <row r="313" spans="1:6" ht="19.5" customHeight="1">
      <c r="A313" s="190">
        <v>307</v>
      </c>
      <c r="B313" s="190">
        <f t="shared" si="14"/>
        <v>289</v>
      </c>
      <c r="C313" s="908" t="s">
        <v>2291</v>
      </c>
      <c r="D313" s="321" t="s">
        <v>3420</v>
      </c>
      <c r="E313" s="882">
        <v>16</v>
      </c>
      <c r="F313" s="280">
        <f t="shared" si="15"/>
        <v>16</v>
      </c>
    </row>
    <row r="314" spans="1:6" ht="19.5" customHeight="1">
      <c r="A314" s="190">
        <v>308</v>
      </c>
      <c r="B314" s="190"/>
      <c r="C314" s="377" t="s">
        <v>2059</v>
      </c>
      <c r="D314" s="190"/>
      <c r="E314" s="280"/>
      <c r="F314" s="280"/>
    </row>
    <row r="315" spans="1:6" ht="19.5" customHeight="1">
      <c r="A315" s="190">
        <v>309</v>
      </c>
      <c r="B315" s="190">
        <v>290</v>
      </c>
      <c r="C315" s="345" t="s">
        <v>2060</v>
      </c>
      <c r="D315" s="321" t="s">
        <v>3354</v>
      </c>
      <c r="E315" s="280">
        <v>71.5</v>
      </c>
      <c r="F315" s="280">
        <f t="shared" si="15"/>
        <v>71.5</v>
      </c>
    </row>
    <row r="316" spans="1:6" ht="19.5" customHeight="1">
      <c r="A316" s="190">
        <v>310</v>
      </c>
      <c r="B316" s="190">
        <f>B315+1</f>
        <v>291</v>
      </c>
      <c r="C316" s="345" t="s">
        <v>2250</v>
      </c>
      <c r="D316" s="321" t="s">
        <v>3354</v>
      </c>
      <c r="E316" s="280">
        <v>77</v>
      </c>
      <c r="F316" s="280">
        <f t="shared" si="15"/>
        <v>77</v>
      </c>
    </row>
    <row r="317" spans="1:6" ht="19.5" customHeight="1">
      <c r="A317" s="190">
        <v>311</v>
      </c>
      <c r="B317" s="190">
        <f t="shared" ref="B317:B322" si="16">B316+1</f>
        <v>292</v>
      </c>
      <c r="C317" s="345" t="s">
        <v>2251</v>
      </c>
      <c r="D317" s="321" t="s">
        <v>3354</v>
      </c>
      <c r="E317" s="280">
        <v>71.5</v>
      </c>
      <c r="F317" s="280">
        <f t="shared" si="15"/>
        <v>71.5</v>
      </c>
    </row>
    <row r="318" spans="1:6" ht="19.5" customHeight="1">
      <c r="A318" s="190">
        <v>312</v>
      </c>
      <c r="B318" s="190">
        <f t="shared" si="16"/>
        <v>293</v>
      </c>
      <c r="C318" s="345" t="s">
        <v>2252</v>
      </c>
      <c r="D318" s="321" t="s">
        <v>3354</v>
      </c>
      <c r="E318" s="280">
        <v>78</v>
      </c>
      <c r="F318" s="280">
        <f t="shared" si="15"/>
        <v>78</v>
      </c>
    </row>
    <row r="319" spans="1:6" ht="19.5" customHeight="1">
      <c r="A319" s="190">
        <v>313</v>
      </c>
      <c r="B319" s="190">
        <f t="shared" si="16"/>
        <v>294</v>
      </c>
      <c r="C319" s="345" t="s">
        <v>2253</v>
      </c>
      <c r="D319" s="321" t="s">
        <v>3354</v>
      </c>
      <c r="E319" s="280">
        <v>79</v>
      </c>
      <c r="F319" s="280">
        <f t="shared" si="15"/>
        <v>79</v>
      </c>
    </row>
    <row r="320" spans="1:6" ht="19.5" customHeight="1">
      <c r="A320" s="190">
        <v>314</v>
      </c>
      <c r="B320" s="190">
        <f t="shared" si="16"/>
        <v>295</v>
      </c>
      <c r="C320" s="345" t="s">
        <v>2254</v>
      </c>
      <c r="D320" s="321" t="s">
        <v>3354</v>
      </c>
      <c r="E320" s="280">
        <v>76</v>
      </c>
      <c r="F320" s="280">
        <f t="shared" si="15"/>
        <v>76</v>
      </c>
    </row>
    <row r="321" spans="1:6" ht="19.5" customHeight="1">
      <c r="A321" s="190">
        <v>315</v>
      </c>
      <c r="B321" s="190">
        <f t="shared" si="16"/>
        <v>296</v>
      </c>
      <c r="C321" s="345" t="s">
        <v>2255</v>
      </c>
      <c r="D321" s="321" t="s">
        <v>3354</v>
      </c>
      <c r="E321" s="280">
        <v>77</v>
      </c>
      <c r="F321" s="280">
        <f t="shared" si="15"/>
        <v>77</v>
      </c>
    </row>
    <row r="322" spans="1:6" ht="19.5" customHeight="1">
      <c r="A322" s="190">
        <v>316</v>
      </c>
      <c r="B322" s="190">
        <f t="shared" si="16"/>
        <v>297</v>
      </c>
      <c r="C322" s="345" t="s">
        <v>2256</v>
      </c>
      <c r="D322" s="321" t="s">
        <v>3354</v>
      </c>
      <c r="E322" s="280">
        <v>72</v>
      </c>
      <c r="F322" s="280">
        <f t="shared" si="15"/>
        <v>72</v>
      </c>
    </row>
    <row r="323" spans="1:6" ht="52.5" customHeight="1">
      <c r="A323" s="190">
        <v>317</v>
      </c>
      <c r="B323" s="190"/>
      <c r="C323" s="917" t="s">
        <v>1494</v>
      </c>
      <c r="D323" s="190"/>
      <c r="E323" s="280"/>
      <c r="F323" s="280"/>
    </row>
    <row r="324" spans="1:6" ht="19.5" customHeight="1">
      <c r="A324" s="190">
        <v>318</v>
      </c>
      <c r="B324" s="190">
        <v>298</v>
      </c>
      <c r="C324" s="918" t="s">
        <v>1775</v>
      </c>
      <c r="D324" s="321" t="s">
        <v>3170</v>
      </c>
      <c r="E324" s="190">
        <f>140*10.76</f>
        <v>1506.3999999999999</v>
      </c>
      <c r="F324" s="280">
        <f t="shared" si="15"/>
        <v>1506.3999999999999</v>
      </c>
    </row>
    <row r="325" spans="1:6" ht="19.5" customHeight="1">
      <c r="A325" s="190">
        <v>319</v>
      </c>
      <c r="B325" s="190">
        <f>B324+1</f>
        <v>299</v>
      </c>
      <c r="C325" s="918" t="s">
        <v>3571</v>
      </c>
      <c r="D325" s="321" t="s">
        <v>3170</v>
      </c>
      <c r="E325" s="190">
        <f>190*10.76</f>
        <v>2044.3999999999999</v>
      </c>
      <c r="F325" s="280">
        <f t="shared" si="15"/>
        <v>2044.3999999999999</v>
      </c>
    </row>
    <row r="326" spans="1:6" ht="19.5" customHeight="1">
      <c r="A326" s="190">
        <v>320</v>
      </c>
      <c r="B326" s="190"/>
      <c r="C326" s="919" t="s">
        <v>3572</v>
      </c>
      <c r="D326" s="814"/>
      <c r="E326" s="190"/>
      <c r="F326" s="280"/>
    </row>
    <row r="327" spans="1:6" ht="19.5" customHeight="1">
      <c r="A327" s="190">
        <v>321</v>
      </c>
      <c r="B327" s="190">
        <v>300</v>
      </c>
      <c r="C327" s="918" t="s">
        <v>1775</v>
      </c>
      <c r="D327" s="321" t="s">
        <v>3170</v>
      </c>
      <c r="E327" s="190">
        <f>160*10.76</f>
        <v>1721.6</v>
      </c>
      <c r="F327" s="280">
        <f t="shared" si="15"/>
        <v>1721.6</v>
      </c>
    </row>
    <row r="328" spans="1:6" ht="19.5" customHeight="1">
      <c r="A328" s="190">
        <v>322</v>
      </c>
      <c r="B328" s="190">
        <v>301</v>
      </c>
      <c r="C328" s="918" t="s">
        <v>3571</v>
      </c>
      <c r="D328" s="321" t="s">
        <v>3170</v>
      </c>
      <c r="E328" s="190">
        <f>215*10.76</f>
        <v>2313.4</v>
      </c>
      <c r="F328" s="280">
        <f t="shared" si="15"/>
        <v>2313.4</v>
      </c>
    </row>
    <row r="329" spans="1:6" ht="19.5" customHeight="1">
      <c r="A329" s="190">
        <v>323</v>
      </c>
      <c r="B329" s="190">
        <v>302</v>
      </c>
      <c r="C329" s="377" t="s">
        <v>1768</v>
      </c>
      <c r="D329" s="190"/>
      <c r="E329" s="280"/>
      <c r="F329" s="280"/>
    </row>
    <row r="330" spans="1:6" ht="18">
      <c r="A330" s="190">
        <v>324</v>
      </c>
      <c r="B330" s="190"/>
      <c r="C330" s="345" t="s">
        <v>3958</v>
      </c>
      <c r="D330" s="321" t="s">
        <v>3170</v>
      </c>
      <c r="E330" s="280">
        <f>100*10.76</f>
        <v>1076</v>
      </c>
      <c r="F330" s="280">
        <f t="shared" si="15"/>
        <v>1076</v>
      </c>
    </row>
    <row r="331" spans="1:6" ht="48.75" customHeight="1">
      <c r="A331" s="190">
        <v>325</v>
      </c>
      <c r="B331" s="191"/>
      <c r="C331" s="345" t="s">
        <v>3957</v>
      </c>
      <c r="D331" s="321" t="s">
        <v>3170</v>
      </c>
      <c r="E331" s="884">
        <v>1508</v>
      </c>
      <c r="F331" s="280">
        <f t="shared" si="15"/>
        <v>1508</v>
      </c>
    </row>
    <row r="332" spans="1:6" ht="19.5" customHeight="1">
      <c r="A332" s="190">
        <v>326</v>
      </c>
      <c r="B332" s="190">
        <v>303</v>
      </c>
      <c r="C332" s="914" t="s">
        <v>1771</v>
      </c>
      <c r="D332" s="321" t="s">
        <v>3170</v>
      </c>
      <c r="E332" s="883">
        <v>1167.46</v>
      </c>
      <c r="F332" s="280">
        <f t="shared" si="15"/>
        <v>1167.46</v>
      </c>
    </row>
    <row r="333" spans="1:6" ht="19.5" customHeight="1">
      <c r="A333" s="190">
        <v>327</v>
      </c>
      <c r="B333" s="190"/>
      <c r="C333" s="384" t="s">
        <v>1764</v>
      </c>
      <c r="D333" s="321" t="s">
        <v>3170</v>
      </c>
      <c r="E333" s="462">
        <v>455</v>
      </c>
      <c r="F333" s="280">
        <f t="shared" si="15"/>
        <v>455</v>
      </c>
    </row>
    <row r="334" spans="1:6" ht="36">
      <c r="A334" s="190">
        <v>328</v>
      </c>
      <c r="B334" s="874"/>
      <c r="C334" s="920" t="s">
        <v>2572</v>
      </c>
      <c r="D334" s="874"/>
      <c r="E334" s="885"/>
      <c r="F334" s="885"/>
    </row>
    <row r="335" spans="1:6" ht="31.5">
      <c r="A335" s="190">
        <v>329</v>
      </c>
      <c r="B335" s="190"/>
      <c r="C335" s="384" t="s">
        <v>2957</v>
      </c>
      <c r="D335" s="190"/>
      <c r="E335" s="280"/>
      <c r="F335" s="280"/>
    </row>
    <row r="336" spans="1:6" ht="19.5" customHeight="1">
      <c r="A336" s="190">
        <v>330</v>
      </c>
      <c r="B336" s="190">
        <v>304</v>
      </c>
      <c r="C336" s="914" t="s">
        <v>2958</v>
      </c>
      <c r="D336" s="321" t="s">
        <v>2110</v>
      </c>
      <c r="E336" s="190">
        <f>248.75*10.76</f>
        <v>2676.5499999999997</v>
      </c>
      <c r="F336" s="280">
        <f t="shared" si="15"/>
        <v>2676.5499999999997</v>
      </c>
    </row>
    <row r="337" spans="1:6" ht="19.5" customHeight="1">
      <c r="A337" s="190">
        <v>331</v>
      </c>
      <c r="B337" s="190">
        <f>B336+1</f>
        <v>305</v>
      </c>
      <c r="C337" s="914" t="s">
        <v>2959</v>
      </c>
      <c r="D337" s="321" t="s">
        <v>2110</v>
      </c>
      <c r="E337" s="190">
        <f>189.56*10.76</f>
        <v>2039.6656</v>
      </c>
      <c r="F337" s="280">
        <f t="shared" si="15"/>
        <v>2039.6656</v>
      </c>
    </row>
    <row r="338" spans="1:6" ht="19.5" customHeight="1">
      <c r="A338" s="190">
        <v>332</v>
      </c>
      <c r="B338" s="190">
        <f>B337+1</f>
        <v>306</v>
      </c>
      <c r="C338" s="914" t="s">
        <v>2960</v>
      </c>
      <c r="D338" s="321" t="s">
        <v>2110</v>
      </c>
      <c r="E338" s="190">
        <f>157.44*10.76</f>
        <v>1694.0544</v>
      </c>
      <c r="F338" s="280">
        <f t="shared" si="15"/>
        <v>1694.0544</v>
      </c>
    </row>
    <row r="339" spans="1:6" ht="31.5">
      <c r="A339" s="190">
        <v>333</v>
      </c>
      <c r="B339" s="190"/>
      <c r="C339" s="384" t="s">
        <v>2961</v>
      </c>
      <c r="D339" s="814"/>
      <c r="E339" s="190"/>
      <c r="F339" s="280"/>
    </row>
    <row r="340" spans="1:6" ht="19.5" customHeight="1">
      <c r="A340" s="190">
        <v>334</v>
      </c>
      <c r="B340" s="190">
        <v>307</v>
      </c>
      <c r="C340" s="914" t="s">
        <v>2960</v>
      </c>
      <c r="D340" s="321" t="s">
        <v>2110</v>
      </c>
      <c r="E340" s="190">
        <f>167.05*10.76</f>
        <v>1797.4580000000001</v>
      </c>
      <c r="F340" s="280">
        <f t="shared" ref="F340:F341" si="17">E340</f>
        <v>1797.4580000000001</v>
      </c>
    </row>
    <row r="341" spans="1:6" ht="31.5">
      <c r="A341" s="190">
        <v>335</v>
      </c>
      <c r="B341" s="190"/>
      <c r="C341" s="384" t="s">
        <v>2225</v>
      </c>
      <c r="D341" s="321" t="s">
        <v>2110</v>
      </c>
      <c r="E341" s="190">
        <f>32*10.76</f>
        <v>344.32</v>
      </c>
      <c r="F341" s="280">
        <f t="shared" si="17"/>
        <v>344.32</v>
      </c>
    </row>
    <row r="342" spans="1:6" ht="37.5">
      <c r="A342" s="190">
        <v>336</v>
      </c>
      <c r="B342" s="190"/>
      <c r="C342" s="377" t="s">
        <v>1609</v>
      </c>
      <c r="D342" s="321"/>
      <c r="E342" s="190"/>
      <c r="F342" s="280"/>
    </row>
    <row r="343" spans="1:6" ht="26.25">
      <c r="A343" s="190">
        <v>337</v>
      </c>
      <c r="B343" s="874">
        <v>375</v>
      </c>
      <c r="C343" s="921" t="s">
        <v>2493</v>
      </c>
      <c r="D343" s="875" t="s">
        <v>2110</v>
      </c>
      <c r="E343" s="885">
        <v>7275</v>
      </c>
      <c r="F343" s="885">
        <f t="shared" ref="F343:F370" si="18">E343</f>
        <v>7275</v>
      </c>
    </row>
    <row r="344" spans="1:6" ht="26.25">
      <c r="A344" s="190">
        <v>338</v>
      </c>
      <c r="B344" s="874">
        <v>376</v>
      </c>
      <c r="C344" s="921" t="s">
        <v>4017</v>
      </c>
      <c r="D344" s="875" t="s">
        <v>2110</v>
      </c>
      <c r="E344" s="885">
        <v>7975</v>
      </c>
      <c r="F344" s="885">
        <f t="shared" si="18"/>
        <v>7975</v>
      </c>
    </row>
    <row r="345" spans="1:6" ht="26.25">
      <c r="A345" s="190">
        <v>339</v>
      </c>
      <c r="B345" s="874">
        <v>377</v>
      </c>
      <c r="C345" s="921" t="s">
        <v>4018</v>
      </c>
      <c r="D345" s="875" t="s">
        <v>2110</v>
      </c>
      <c r="E345" s="885">
        <v>8085</v>
      </c>
      <c r="F345" s="885">
        <f t="shared" si="18"/>
        <v>8085</v>
      </c>
    </row>
    <row r="346" spans="1:6" ht="26.25">
      <c r="A346" s="190">
        <v>340</v>
      </c>
      <c r="B346" s="874">
        <v>378</v>
      </c>
      <c r="C346" s="921" t="s">
        <v>4013</v>
      </c>
      <c r="D346" s="875" t="s">
        <v>2110</v>
      </c>
      <c r="E346" s="885">
        <v>10051</v>
      </c>
      <c r="F346" s="885">
        <f t="shared" si="18"/>
        <v>10051</v>
      </c>
    </row>
    <row r="347" spans="1:6" ht="26.25">
      <c r="A347" s="190">
        <v>341</v>
      </c>
      <c r="B347" s="874">
        <v>379</v>
      </c>
      <c r="C347" s="921" t="s">
        <v>4014</v>
      </c>
      <c r="D347" s="875" t="s">
        <v>2110</v>
      </c>
      <c r="E347" s="885">
        <v>6531</v>
      </c>
      <c r="F347" s="885">
        <f t="shared" si="18"/>
        <v>6531</v>
      </c>
    </row>
    <row r="348" spans="1:6" ht="26.25">
      <c r="A348" s="190">
        <v>342</v>
      </c>
      <c r="B348" s="874">
        <v>380</v>
      </c>
      <c r="C348" s="921" t="s">
        <v>4015</v>
      </c>
      <c r="D348" s="875" t="s">
        <v>2110</v>
      </c>
      <c r="E348" s="885">
        <v>7005</v>
      </c>
      <c r="F348" s="885">
        <f t="shared" si="18"/>
        <v>7005</v>
      </c>
    </row>
    <row r="349" spans="1:6" ht="26.25">
      <c r="A349" s="190">
        <v>343</v>
      </c>
      <c r="B349" s="874">
        <v>381</v>
      </c>
      <c r="C349" s="921" t="s">
        <v>4016</v>
      </c>
      <c r="D349" s="875" t="s">
        <v>2110</v>
      </c>
      <c r="E349" s="885">
        <v>6470</v>
      </c>
      <c r="F349" s="885">
        <f t="shared" si="18"/>
        <v>6470</v>
      </c>
    </row>
    <row r="350" spans="1:6" ht="26.25">
      <c r="A350" s="190">
        <v>344</v>
      </c>
      <c r="B350" s="874">
        <v>382</v>
      </c>
      <c r="C350" s="921" t="s">
        <v>4019</v>
      </c>
      <c r="D350" s="875" t="s">
        <v>2110</v>
      </c>
      <c r="E350" s="885">
        <v>8625</v>
      </c>
      <c r="F350" s="885">
        <f t="shared" si="18"/>
        <v>8625</v>
      </c>
    </row>
    <row r="351" spans="1:6" ht="26.25">
      <c r="A351" s="190">
        <v>345</v>
      </c>
      <c r="B351" s="874">
        <v>383</v>
      </c>
      <c r="C351" s="921" t="s">
        <v>4020</v>
      </c>
      <c r="D351" s="875" t="s">
        <v>2110</v>
      </c>
      <c r="E351" s="885">
        <v>8355</v>
      </c>
      <c r="F351" s="885">
        <f t="shared" si="18"/>
        <v>8355</v>
      </c>
    </row>
    <row r="352" spans="1:6" ht="26.25">
      <c r="A352" s="190">
        <v>346</v>
      </c>
      <c r="B352" s="874">
        <v>384</v>
      </c>
      <c r="C352" s="921" t="s">
        <v>4021</v>
      </c>
      <c r="D352" s="875" t="s">
        <v>2110</v>
      </c>
      <c r="E352" s="885">
        <v>8085</v>
      </c>
      <c r="F352" s="885">
        <f t="shared" si="18"/>
        <v>8085</v>
      </c>
    </row>
    <row r="353" spans="1:6" ht="56.25">
      <c r="A353" s="190">
        <v>347</v>
      </c>
      <c r="B353" s="190"/>
      <c r="C353" s="377" t="s">
        <v>2280</v>
      </c>
      <c r="D353" s="321"/>
      <c r="E353" s="190"/>
      <c r="F353" s="280"/>
    </row>
    <row r="354" spans="1:6" ht="63">
      <c r="A354" s="190">
        <v>348</v>
      </c>
      <c r="B354" s="190"/>
      <c r="C354" s="922" t="s">
        <v>2988</v>
      </c>
      <c r="D354" s="321"/>
      <c r="E354" s="190"/>
      <c r="F354" s="280"/>
    </row>
    <row r="355" spans="1:6" ht="63">
      <c r="A355" s="190">
        <v>349</v>
      </c>
      <c r="B355" s="190">
        <v>387</v>
      </c>
      <c r="C355" s="345" t="s">
        <v>2281</v>
      </c>
      <c r="D355" s="321" t="s">
        <v>2110</v>
      </c>
      <c r="E355" s="190">
        <v>505.72</v>
      </c>
      <c r="F355" s="280">
        <f t="shared" si="18"/>
        <v>505.72</v>
      </c>
    </row>
    <row r="356" spans="1:6" ht="47.25">
      <c r="A356" s="190">
        <v>350</v>
      </c>
      <c r="B356" s="190">
        <f>B355+1</f>
        <v>388</v>
      </c>
      <c r="C356" s="345" t="s">
        <v>2282</v>
      </c>
      <c r="D356" s="321" t="s">
        <v>2110</v>
      </c>
      <c r="E356" s="190">
        <v>548.76</v>
      </c>
      <c r="F356" s="280">
        <f t="shared" si="18"/>
        <v>548.76</v>
      </c>
    </row>
    <row r="357" spans="1:6" ht="47.25">
      <c r="A357" s="190">
        <v>351</v>
      </c>
      <c r="B357" s="190">
        <f t="shared" ref="B357:B362" si="19">B356+1</f>
        <v>389</v>
      </c>
      <c r="C357" s="345" t="s">
        <v>2283</v>
      </c>
      <c r="D357" s="321" t="s">
        <v>2110</v>
      </c>
      <c r="E357" s="190">
        <v>538</v>
      </c>
      <c r="F357" s="280">
        <f t="shared" si="18"/>
        <v>538</v>
      </c>
    </row>
    <row r="358" spans="1:6" ht="30.75" customHeight="1">
      <c r="A358" s="190">
        <v>352</v>
      </c>
      <c r="B358" s="190">
        <f t="shared" si="19"/>
        <v>390</v>
      </c>
      <c r="C358" s="345" t="s">
        <v>2284</v>
      </c>
      <c r="D358" s="321" t="s">
        <v>2110</v>
      </c>
      <c r="E358" s="190">
        <v>551.45000000000005</v>
      </c>
      <c r="F358" s="280">
        <f t="shared" si="18"/>
        <v>551.45000000000005</v>
      </c>
    </row>
    <row r="359" spans="1:6" ht="63">
      <c r="A359" s="190">
        <v>353</v>
      </c>
      <c r="B359" s="190">
        <f t="shared" si="19"/>
        <v>391</v>
      </c>
      <c r="C359" s="345" t="s">
        <v>1558</v>
      </c>
      <c r="D359" s="321" t="s">
        <v>1101</v>
      </c>
      <c r="E359" s="190">
        <v>565</v>
      </c>
      <c r="F359" s="280">
        <f t="shared" si="18"/>
        <v>565</v>
      </c>
    </row>
    <row r="360" spans="1:6" ht="31.5">
      <c r="A360" s="190">
        <v>354</v>
      </c>
      <c r="B360" s="190">
        <f t="shared" si="19"/>
        <v>392</v>
      </c>
      <c r="C360" s="345" t="s">
        <v>2285</v>
      </c>
      <c r="D360" s="321" t="s">
        <v>1101</v>
      </c>
      <c r="E360" s="190">
        <v>1312</v>
      </c>
      <c r="F360" s="280">
        <f t="shared" si="18"/>
        <v>1312</v>
      </c>
    </row>
    <row r="361" spans="1:6" ht="63">
      <c r="A361" s="190">
        <v>355</v>
      </c>
      <c r="B361" s="190">
        <f t="shared" si="19"/>
        <v>393</v>
      </c>
      <c r="C361" s="345" t="s">
        <v>1151</v>
      </c>
      <c r="D361" s="321" t="s">
        <v>2110</v>
      </c>
      <c r="E361" s="190">
        <v>225.96</v>
      </c>
      <c r="F361" s="280">
        <f t="shared" si="18"/>
        <v>225.96</v>
      </c>
    </row>
    <row r="362" spans="1:6" ht="50.25">
      <c r="A362" s="190">
        <v>356</v>
      </c>
      <c r="B362" s="190">
        <f t="shared" si="19"/>
        <v>394</v>
      </c>
      <c r="C362" s="345" t="s">
        <v>3908</v>
      </c>
      <c r="D362" s="321" t="s">
        <v>1101</v>
      </c>
      <c r="E362" s="190">
        <v>6199.2</v>
      </c>
      <c r="F362" s="280">
        <f t="shared" si="18"/>
        <v>6199.2</v>
      </c>
    </row>
    <row r="363" spans="1:6" ht="19.5" customHeight="1">
      <c r="A363" s="190">
        <v>357</v>
      </c>
      <c r="B363" s="190"/>
      <c r="C363" s="345" t="s">
        <v>1560</v>
      </c>
      <c r="D363" s="814"/>
      <c r="E363" s="190"/>
      <c r="F363" s="280"/>
    </row>
    <row r="364" spans="1:6" ht="72.75" customHeight="1">
      <c r="A364" s="190">
        <v>358</v>
      </c>
      <c r="B364" s="190">
        <v>395</v>
      </c>
      <c r="C364" s="923" t="s">
        <v>1561</v>
      </c>
      <c r="D364" s="321" t="s">
        <v>2110</v>
      </c>
      <c r="E364" s="190">
        <v>3658.4</v>
      </c>
      <c r="F364" s="280">
        <f t="shared" si="18"/>
        <v>3658.4</v>
      </c>
    </row>
    <row r="365" spans="1:6" ht="31.5">
      <c r="A365" s="190">
        <v>359</v>
      </c>
      <c r="B365" s="190">
        <f t="shared" ref="B365:B370" si="20">B364+1</f>
        <v>396</v>
      </c>
      <c r="C365" s="923" t="s">
        <v>1240</v>
      </c>
      <c r="D365" s="321" t="s">
        <v>2110</v>
      </c>
      <c r="E365" s="190">
        <v>1721.6</v>
      </c>
      <c r="F365" s="280">
        <f t="shared" si="18"/>
        <v>1721.6</v>
      </c>
    </row>
    <row r="366" spans="1:6" ht="46.5" customHeight="1">
      <c r="A366" s="190">
        <v>360</v>
      </c>
      <c r="B366" s="190">
        <f t="shared" si="20"/>
        <v>397</v>
      </c>
      <c r="C366" s="923" t="s">
        <v>3006</v>
      </c>
      <c r="D366" s="321" t="s">
        <v>2110</v>
      </c>
      <c r="E366" s="190">
        <v>1441.84</v>
      </c>
      <c r="F366" s="280">
        <f t="shared" si="18"/>
        <v>1441.84</v>
      </c>
    </row>
    <row r="367" spans="1:6" ht="19.5" customHeight="1">
      <c r="A367" s="190">
        <v>361</v>
      </c>
      <c r="B367" s="190">
        <f t="shared" si="20"/>
        <v>398</v>
      </c>
      <c r="C367" s="384" t="s">
        <v>2544</v>
      </c>
      <c r="D367" s="321" t="s">
        <v>1101</v>
      </c>
      <c r="E367" s="462">
        <v>393.6</v>
      </c>
      <c r="F367" s="280">
        <f t="shared" si="18"/>
        <v>393.6</v>
      </c>
    </row>
    <row r="368" spans="1:6" ht="31.5">
      <c r="A368" s="190">
        <v>362</v>
      </c>
      <c r="B368" s="190">
        <f t="shared" si="20"/>
        <v>399</v>
      </c>
      <c r="C368" s="345" t="s">
        <v>1677</v>
      </c>
      <c r="D368" s="321" t="s">
        <v>2110</v>
      </c>
      <c r="E368" s="190">
        <v>419.64</v>
      </c>
      <c r="F368" s="280">
        <f t="shared" si="18"/>
        <v>419.64</v>
      </c>
    </row>
    <row r="369" spans="1:6" ht="47.25">
      <c r="A369" s="190">
        <v>363</v>
      </c>
      <c r="B369" s="190">
        <f t="shared" si="20"/>
        <v>400</v>
      </c>
      <c r="C369" s="345" t="s">
        <v>1678</v>
      </c>
      <c r="D369" s="321" t="s">
        <v>2110</v>
      </c>
      <c r="E369" s="190">
        <v>419.64</v>
      </c>
      <c r="F369" s="280">
        <f t="shared" si="18"/>
        <v>419.64</v>
      </c>
    </row>
    <row r="370" spans="1:6" ht="78.75">
      <c r="A370" s="190">
        <v>364</v>
      </c>
      <c r="B370" s="190">
        <f t="shared" si="20"/>
        <v>401</v>
      </c>
      <c r="C370" s="345" t="s">
        <v>1679</v>
      </c>
      <c r="D370" s="321" t="s">
        <v>2110</v>
      </c>
      <c r="E370" s="886">
        <v>1312.72</v>
      </c>
      <c r="F370" s="280">
        <f t="shared" si="18"/>
        <v>1312.72</v>
      </c>
    </row>
    <row r="371" spans="1:6" ht="19.5" customHeight="1">
      <c r="A371" s="190">
        <v>365</v>
      </c>
      <c r="B371" s="190"/>
      <c r="C371" s="924" t="s">
        <v>1630</v>
      </c>
      <c r="D371" s="940"/>
      <c r="E371" s="887"/>
      <c r="F371" s="280"/>
    </row>
    <row r="372" spans="1:6" ht="38.25">
      <c r="A372" s="190">
        <v>366</v>
      </c>
      <c r="B372" s="190"/>
      <c r="C372" s="925" t="s">
        <v>2988</v>
      </c>
      <c r="D372" s="940"/>
      <c r="E372" s="887"/>
      <c r="F372" s="280"/>
    </row>
    <row r="373" spans="1:6" ht="19.5" customHeight="1">
      <c r="A373" s="190">
        <v>367</v>
      </c>
      <c r="B373" s="190"/>
      <c r="C373" s="926" t="s">
        <v>2191</v>
      </c>
      <c r="D373" s="940"/>
      <c r="E373" s="887"/>
      <c r="F373" s="280"/>
    </row>
    <row r="374" spans="1:6" ht="51">
      <c r="A374" s="190">
        <v>368</v>
      </c>
      <c r="B374" s="190">
        <v>412</v>
      </c>
      <c r="C374" s="927" t="s">
        <v>2154</v>
      </c>
      <c r="D374" s="321" t="s">
        <v>2110</v>
      </c>
      <c r="E374" s="886">
        <v>380.9</v>
      </c>
      <c r="F374" s="280">
        <f t="shared" ref="F374:F430" si="21">E374</f>
        <v>380.9</v>
      </c>
    </row>
    <row r="375" spans="1:6" ht="19.5" customHeight="1">
      <c r="A375" s="190">
        <v>369</v>
      </c>
      <c r="B375" s="190"/>
      <c r="C375" s="926" t="s">
        <v>2156</v>
      </c>
      <c r="D375" s="941"/>
      <c r="E375" s="886"/>
      <c r="F375" s="280"/>
    </row>
    <row r="376" spans="1:6" ht="63.75">
      <c r="A376" s="190">
        <v>370</v>
      </c>
      <c r="B376" s="190">
        <f>B374+1</f>
        <v>413</v>
      </c>
      <c r="C376" s="927" t="s">
        <v>3085</v>
      </c>
      <c r="D376" s="321" t="s">
        <v>2110</v>
      </c>
      <c r="E376" s="886">
        <v>400.27</v>
      </c>
      <c r="F376" s="280">
        <f t="shared" si="21"/>
        <v>400.27</v>
      </c>
    </row>
    <row r="377" spans="1:6" ht="19.5" customHeight="1">
      <c r="A377" s="190">
        <v>371</v>
      </c>
      <c r="B377" s="190"/>
      <c r="C377" s="926" t="s">
        <v>3086</v>
      </c>
      <c r="D377" s="941"/>
      <c r="E377" s="886"/>
      <c r="F377" s="280"/>
    </row>
    <row r="378" spans="1:6" ht="38.25">
      <c r="A378" s="190">
        <v>372</v>
      </c>
      <c r="B378" s="190">
        <f>B376+1</f>
        <v>414</v>
      </c>
      <c r="C378" s="927" t="s">
        <v>2160</v>
      </c>
      <c r="D378" s="321" t="s">
        <v>2110</v>
      </c>
      <c r="E378" s="886">
        <v>464.83</v>
      </c>
      <c r="F378" s="280">
        <f t="shared" si="21"/>
        <v>464.83</v>
      </c>
    </row>
    <row r="379" spans="1:6" ht="19.5" customHeight="1">
      <c r="A379" s="190">
        <v>373</v>
      </c>
      <c r="B379" s="190"/>
      <c r="C379" s="926" t="s">
        <v>2161</v>
      </c>
      <c r="D379" s="941"/>
      <c r="E379" s="886"/>
      <c r="F379" s="280"/>
    </row>
    <row r="380" spans="1:6" ht="25.5">
      <c r="A380" s="190">
        <v>374</v>
      </c>
      <c r="B380" s="190">
        <f>B378+1</f>
        <v>415</v>
      </c>
      <c r="C380" s="927" t="s">
        <v>2162</v>
      </c>
      <c r="D380" s="321" t="s">
        <v>2110</v>
      </c>
      <c r="E380" s="886">
        <v>376.6</v>
      </c>
      <c r="F380" s="280">
        <f t="shared" si="21"/>
        <v>376.6</v>
      </c>
    </row>
    <row r="381" spans="1:6" ht="19.5" customHeight="1">
      <c r="A381" s="190">
        <v>375</v>
      </c>
      <c r="B381" s="190"/>
      <c r="C381" s="926" t="s">
        <v>2163</v>
      </c>
      <c r="D381" s="941"/>
      <c r="E381" s="888"/>
      <c r="F381" s="280"/>
    </row>
    <row r="382" spans="1:6" ht="38.25">
      <c r="A382" s="190">
        <v>376</v>
      </c>
      <c r="B382" s="190">
        <f>B380+1</f>
        <v>416</v>
      </c>
      <c r="C382" s="927" t="s">
        <v>663</v>
      </c>
      <c r="D382" s="321" t="s">
        <v>2110</v>
      </c>
      <c r="E382" s="886">
        <v>393.81</v>
      </c>
      <c r="F382" s="280">
        <f t="shared" si="21"/>
        <v>393.81</v>
      </c>
    </row>
    <row r="383" spans="1:6" ht="19.5" customHeight="1">
      <c r="A383" s="190">
        <v>377</v>
      </c>
      <c r="B383" s="190"/>
      <c r="C383" s="926" t="s">
        <v>665</v>
      </c>
      <c r="D383" s="941"/>
      <c r="E383" s="886"/>
      <c r="F383" s="280"/>
    </row>
    <row r="384" spans="1:6" ht="38.25">
      <c r="A384" s="190">
        <v>378</v>
      </c>
      <c r="B384" s="190">
        <f>B382+1</f>
        <v>417</v>
      </c>
      <c r="C384" s="927" t="s">
        <v>666</v>
      </c>
      <c r="D384" s="321" t="s">
        <v>2110</v>
      </c>
      <c r="E384" s="886">
        <v>139.88</v>
      </c>
      <c r="F384" s="280">
        <f t="shared" si="21"/>
        <v>139.88</v>
      </c>
    </row>
    <row r="385" spans="1:6" ht="19.5" customHeight="1">
      <c r="A385" s="190">
        <v>379</v>
      </c>
      <c r="B385" s="190"/>
      <c r="C385" s="926" t="s">
        <v>667</v>
      </c>
      <c r="D385" s="941"/>
      <c r="E385" s="886"/>
      <c r="F385" s="280"/>
    </row>
    <row r="386" spans="1:6" ht="38.25">
      <c r="A386" s="190">
        <v>380</v>
      </c>
      <c r="B386" s="190">
        <f>B384+1</f>
        <v>418</v>
      </c>
      <c r="C386" s="927" t="s">
        <v>668</v>
      </c>
      <c r="D386" s="321" t="s">
        <v>2110</v>
      </c>
      <c r="E386" s="886">
        <v>376.6</v>
      </c>
      <c r="F386" s="280">
        <f t="shared" si="21"/>
        <v>376.6</v>
      </c>
    </row>
    <row r="387" spans="1:6" ht="19.5" customHeight="1">
      <c r="A387" s="190">
        <v>381</v>
      </c>
      <c r="B387" s="190"/>
      <c r="C387" s="926" t="s">
        <v>669</v>
      </c>
      <c r="D387" s="941"/>
      <c r="E387" s="886"/>
      <c r="F387" s="280"/>
    </row>
    <row r="388" spans="1:6" ht="38.25">
      <c r="A388" s="190">
        <v>382</v>
      </c>
      <c r="B388" s="190">
        <f>B386+1</f>
        <v>419</v>
      </c>
      <c r="C388" s="927" t="s">
        <v>670</v>
      </c>
      <c r="D388" s="321" t="s">
        <v>3070</v>
      </c>
      <c r="E388" s="889">
        <v>300</v>
      </c>
      <c r="F388" s="280">
        <f t="shared" si="21"/>
        <v>300</v>
      </c>
    </row>
    <row r="389" spans="1:6" ht="19.5" customHeight="1">
      <c r="A389" s="190">
        <v>383</v>
      </c>
      <c r="B389" s="190"/>
      <c r="C389" s="926" t="s">
        <v>672</v>
      </c>
      <c r="D389" s="941"/>
      <c r="E389" s="890"/>
      <c r="F389" s="280"/>
    </row>
    <row r="390" spans="1:6" ht="51">
      <c r="A390" s="190">
        <v>384</v>
      </c>
      <c r="B390" s="190">
        <f>B388+1</f>
        <v>420</v>
      </c>
      <c r="C390" s="927" t="s">
        <v>2763</v>
      </c>
      <c r="D390" s="321" t="s">
        <v>3070</v>
      </c>
      <c r="E390" s="889">
        <v>250</v>
      </c>
      <c r="F390" s="280">
        <f t="shared" si="21"/>
        <v>250</v>
      </c>
    </row>
    <row r="391" spans="1:6" ht="19.5" customHeight="1">
      <c r="A391" s="190">
        <v>385</v>
      </c>
      <c r="B391" s="190"/>
      <c r="C391" s="926" t="s">
        <v>2765</v>
      </c>
      <c r="D391" s="941"/>
      <c r="E391" s="889"/>
      <c r="F391" s="280"/>
    </row>
    <row r="392" spans="1:6" ht="19.5" customHeight="1">
      <c r="A392" s="190">
        <v>386</v>
      </c>
      <c r="B392" s="190">
        <f>B390+1</f>
        <v>421</v>
      </c>
      <c r="C392" s="923" t="s">
        <v>2766</v>
      </c>
      <c r="D392" s="321" t="s">
        <v>3070</v>
      </c>
      <c r="E392" s="889">
        <v>375</v>
      </c>
      <c r="F392" s="280">
        <f t="shared" si="21"/>
        <v>375</v>
      </c>
    </row>
    <row r="393" spans="1:6" ht="19.5" customHeight="1">
      <c r="A393" s="190">
        <v>387</v>
      </c>
      <c r="B393" s="190"/>
      <c r="C393" s="926" t="s">
        <v>2767</v>
      </c>
      <c r="D393" s="941"/>
      <c r="E393" s="889"/>
      <c r="F393" s="280"/>
    </row>
    <row r="394" spans="1:6" ht="63.75">
      <c r="A394" s="190">
        <v>388</v>
      </c>
      <c r="B394" s="190">
        <f>B392+1</f>
        <v>422</v>
      </c>
      <c r="C394" s="927" t="s">
        <v>2302</v>
      </c>
      <c r="D394" s="321" t="s">
        <v>3070</v>
      </c>
      <c r="E394" s="889">
        <v>250</v>
      </c>
      <c r="F394" s="280">
        <f t="shared" si="21"/>
        <v>250</v>
      </c>
    </row>
    <row r="395" spans="1:6" ht="19.5" customHeight="1">
      <c r="A395" s="190">
        <v>389</v>
      </c>
      <c r="B395" s="190"/>
      <c r="C395" s="926" t="s">
        <v>2303</v>
      </c>
      <c r="D395" s="941"/>
      <c r="E395" s="886"/>
      <c r="F395" s="280"/>
    </row>
    <row r="396" spans="1:6" ht="38.25">
      <c r="A396" s="190">
        <v>390</v>
      </c>
      <c r="B396" s="190">
        <f>B394+1</f>
        <v>423</v>
      </c>
      <c r="C396" s="927" t="s">
        <v>3122</v>
      </c>
      <c r="D396" s="321" t="s">
        <v>2110</v>
      </c>
      <c r="E396" s="886">
        <v>2690</v>
      </c>
      <c r="F396" s="280">
        <f t="shared" si="21"/>
        <v>2690</v>
      </c>
    </row>
    <row r="397" spans="1:6" ht="19.5" customHeight="1">
      <c r="A397" s="190">
        <v>391</v>
      </c>
      <c r="B397" s="190"/>
      <c r="C397" s="926" t="s">
        <v>3124</v>
      </c>
      <c r="D397" s="941"/>
      <c r="E397" s="886"/>
      <c r="F397" s="280"/>
    </row>
    <row r="398" spans="1:6" ht="51">
      <c r="A398" s="190">
        <v>392</v>
      </c>
      <c r="B398" s="190">
        <f>B396+1</f>
        <v>424</v>
      </c>
      <c r="C398" s="927" t="s">
        <v>3125</v>
      </c>
      <c r="D398" s="321" t="s">
        <v>3070</v>
      </c>
      <c r="E398" s="889">
        <v>8.6</v>
      </c>
      <c r="F398" s="280">
        <f t="shared" si="21"/>
        <v>8.6</v>
      </c>
    </row>
    <row r="399" spans="1:6" ht="19.5" customHeight="1">
      <c r="A399" s="190">
        <v>393</v>
      </c>
      <c r="B399" s="190"/>
      <c r="C399" s="926" t="s">
        <v>3126</v>
      </c>
      <c r="D399" s="941"/>
      <c r="E399" s="889"/>
      <c r="F399" s="280"/>
    </row>
    <row r="400" spans="1:6" ht="25.5">
      <c r="A400" s="190">
        <v>394</v>
      </c>
      <c r="B400" s="190">
        <f>B398+1</f>
        <v>425</v>
      </c>
      <c r="C400" s="927" t="s">
        <v>3127</v>
      </c>
      <c r="D400" s="321" t="s">
        <v>3070</v>
      </c>
      <c r="E400" s="889">
        <v>400</v>
      </c>
      <c r="F400" s="280">
        <f t="shared" si="21"/>
        <v>400</v>
      </c>
    </row>
    <row r="401" spans="1:6" ht="19.5" customHeight="1">
      <c r="A401" s="190">
        <v>395</v>
      </c>
      <c r="B401" s="190"/>
      <c r="C401" s="926" t="s">
        <v>3128</v>
      </c>
      <c r="D401" s="941"/>
      <c r="E401" s="889"/>
      <c r="F401" s="280"/>
    </row>
    <row r="402" spans="1:6" ht="51">
      <c r="A402" s="190">
        <v>396</v>
      </c>
      <c r="B402" s="190">
        <f>B400+1</f>
        <v>426</v>
      </c>
      <c r="C402" s="927" t="s">
        <v>2111</v>
      </c>
      <c r="D402" s="321" t="s">
        <v>3070</v>
      </c>
      <c r="E402" s="889">
        <v>375</v>
      </c>
      <c r="F402" s="280">
        <f t="shared" si="21"/>
        <v>375</v>
      </c>
    </row>
    <row r="403" spans="1:6" ht="19.5" customHeight="1">
      <c r="A403" s="190">
        <v>397</v>
      </c>
      <c r="B403" s="190"/>
      <c r="C403" s="926" t="s">
        <v>2112</v>
      </c>
      <c r="D403" s="941"/>
      <c r="E403" s="890"/>
      <c r="F403" s="280"/>
    </row>
    <row r="404" spans="1:6" ht="64.5">
      <c r="A404" s="190">
        <v>398</v>
      </c>
      <c r="B404" s="190">
        <f>B402+1</f>
        <v>427</v>
      </c>
      <c r="C404" s="918" t="s">
        <v>2975</v>
      </c>
      <c r="D404" s="321" t="s">
        <v>3070</v>
      </c>
      <c r="E404" s="889">
        <v>375</v>
      </c>
      <c r="F404" s="280">
        <f t="shared" si="21"/>
        <v>375</v>
      </c>
    </row>
    <row r="405" spans="1:6" ht="19.5" customHeight="1">
      <c r="A405" s="190">
        <v>399</v>
      </c>
      <c r="B405" s="190"/>
      <c r="C405" s="919" t="s">
        <v>2976</v>
      </c>
      <c r="D405" s="941"/>
      <c r="E405" s="886"/>
      <c r="F405" s="280"/>
    </row>
    <row r="406" spans="1:6" ht="64.5">
      <c r="A406" s="190">
        <v>400</v>
      </c>
      <c r="B406" s="190">
        <f>B404+1</f>
        <v>428</v>
      </c>
      <c r="C406" s="918" t="s">
        <v>2977</v>
      </c>
      <c r="D406" s="321" t="s">
        <v>2110</v>
      </c>
      <c r="E406" s="886">
        <v>279.76</v>
      </c>
      <c r="F406" s="280">
        <f t="shared" si="21"/>
        <v>279.76</v>
      </c>
    </row>
    <row r="407" spans="1:6" ht="19.5" customHeight="1">
      <c r="A407" s="190">
        <v>401</v>
      </c>
      <c r="B407" s="190"/>
      <c r="C407" s="919" t="s">
        <v>2978</v>
      </c>
      <c r="D407" s="941"/>
      <c r="E407" s="886"/>
      <c r="F407" s="280"/>
    </row>
    <row r="408" spans="1:6" ht="19.5" customHeight="1">
      <c r="A408" s="190">
        <v>402</v>
      </c>
      <c r="B408" s="190"/>
      <c r="C408" s="345" t="s">
        <v>2979</v>
      </c>
      <c r="D408" s="941"/>
      <c r="E408" s="886"/>
      <c r="F408" s="280"/>
    </row>
    <row r="409" spans="1:6" ht="64.5">
      <c r="A409" s="190">
        <v>403</v>
      </c>
      <c r="B409" s="190">
        <f>B406+1</f>
        <v>429</v>
      </c>
      <c r="C409" s="918" t="s">
        <v>3329</v>
      </c>
      <c r="D409" s="321" t="s">
        <v>3096</v>
      </c>
      <c r="E409" s="889">
        <v>1500</v>
      </c>
      <c r="F409" s="280">
        <f t="shared" si="21"/>
        <v>1500</v>
      </c>
    </row>
    <row r="410" spans="1:6" ht="19.5" customHeight="1">
      <c r="A410" s="190">
        <v>404</v>
      </c>
      <c r="B410" s="190"/>
      <c r="C410" s="919" t="s">
        <v>2017</v>
      </c>
      <c r="D410" s="941"/>
      <c r="E410" s="889"/>
      <c r="F410" s="280"/>
    </row>
    <row r="411" spans="1:6" ht="19.5" customHeight="1">
      <c r="A411" s="190">
        <v>405</v>
      </c>
      <c r="B411" s="190">
        <f>B409+1</f>
        <v>430</v>
      </c>
      <c r="C411" s="918" t="s">
        <v>2018</v>
      </c>
      <c r="D411" s="321" t="s">
        <v>3070</v>
      </c>
      <c r="E411" s="889">
        <v>1350</v>
      </c>
      <c r="F411" s="280">
        <f t="shared" si="21"/>
        <v>1350</v>
      </c>
    </row>
    <row r="412" spans="1:6" ht="19.5" customHeight="1">
      <c r="A412" s="190">
        <v>406</v>
      </c>
      <c r="B412" s="190"/>
      <c r="C412" s="919" t="s">
        <v>1361</v>
      </c>
      <c r="D412" s="941"/>
      <c r="E412" s="890"/>
      <c r="F412" s="280"/>
    </row>
    <row r="413" spans="1:6" ht="19.5" customHeight="1">
      <c r="A413" s="190">
        <v>407</v>
      </c>
      <c r="B413" s="190"/>
      <c r="C413" s="919" t="s">
        <v>1362</v>
      </c>
      <c r="D413" s="941"/>
      <c r="E413" s="890"/>
      <c r="F413" s="280"/>
    </row>
    <row r="414" spans="1:6" ht="51.75">
      <c r="A414" s="190">
        <v>408</v>
      </c>
      <c r="B414" s="190">
        <f>B411+1</f>
        <v>431</v>
      </c>
      <c r="C414" s="918" t="s">
        <v>1363</v>
      </c>
      <c r="D414" s="321" t="s">
        <v>3070</v>
      </c>
      <c r="E414" s="280">
        <v>375</v>
      </c>
      <c r="F414" s="280">
        <f t="shared" si="21"/>
        <v>375</v>
      </c>
    </row>
    <row r="415" spans="1:6" ht="19.5" customHeight="1">
      <c r="A415" s="190">
        <v>409</v>
      </c>
      <c r="B415" s="190"/>
      <c r="C415" s="377" t="s">
        <v>697</v>
      </c>
      <c r="D415" s="321"/>
      <c r="E415" s="888"/>
      <c r="F415" s="280"/>
    </row>
    <row r="416" spans="1:6" ht="31.5">
      <c r="A416" s="190">
        <v>410</v>
      </c>
      <c r="B416" s="190">
        <v>432</v>
      </c>
      <c r="C416" s="345" t="s">
        <v>698</v>
      </c>
      <c r="D416" s="315" t="s">
        <v>2110</v>
      </c>
      <c r="E416" s="190">
        <f>10.76*35</f>
        <v>376.59999999999997</v>
      </c>
      <c r="F416" s="280">
        <f t="shared" si="21"/>
        <v>376.59999999999997</v>
      </c>
    </row>
    <row r="417" spans="1:6" ht="18">
      <c r="A417" s="190">
        <v>411</v>
      </c>
      <c r="B417" s="190">
        <f t="shared" ref="B417:B423" si="22">B416+1</f>
        <v>433</v>
      </c>
      <c r="C417" s="345" t="s">
        <v>1754</v>
      </c>
      <c r="D417" s="315" t="s">
        <v>2110</v>
      </c>
      <c r="E417" s="190">
        <f>10.76*44</f>
        <v>473.44</v>
      </c>
      <c r="F417" s="280">
        <f t="shared" si="21"/>
        <v>473.44</v>
      </c>
    </row>
    <row r="418" spans="1:6" ht="31.5">
      <c r="A418" s="190">
        <v>412</v>
      </c>
      <c r="B418" s="190">
        <f t="shared" si="22"/>
        <v>434</v>
      </c>
      <c r="C418" s="345" t="s">
        <v>1755</v>
      </c>
      <c r="D418" s="315" t="s">
        <v>2110</v>
      </c>
      <c r="E418" s="190">
        <f>10.76*44</f>
        <v>473.44</v>
      </c>
      <c r="F418" s="280">
        <f t="shared" si="21"/>
        <v>473.44</v>
      </c>
    </row>
    <row r="419" spans="1:6" ht="19.5" customHeight="1">
      <c r="A419" s="190">
        <v>413</v>
      </c>
      <c r="B419" s="190">
        <f t="shared" si="22"/>
        <v>435</v>
      </c>
      <c r="C419" s="345" t="s">
        <v>1756</v>
      </c>
      <c r="D419" s="315" t="s">
        <v>2110</v>
      </c>
      <c r="E419" s="190">
        <f>10.76*52</f>
        <v>559.52</v>
      </c>
      <c r="F419" s="280">
        <f t="shared" si="21"/>
        <v>559.52</v>
      </c>
    </row>
    <row r="420" spans="1:6" ht="19.5" customHeight="1">
      <c r="A420" s="190">
        <v>414</v>
      </c>
      <c r="B420" s="190">
        <f t="shared" si="22"/>
        <v>436</v>
      </c>
      <c r="C420" s="345" t="s">
        <v>1757</v>
      </c>
      <c r="D420" s="399" t="s">
        <v>1758</v>
      </c>
      <c r="E420" s="280">
        <v>325</v>
      </c>
      <c r="F420" s="280">
        <f t="shared" si="21"/>
        <v>325</v>
      </c>
    </row>
    <row r="421" spans="1:6" ht="18">
      <c r="A421" s="190">
        <v>415</v>
      </c>
      <c r="B421" s="190">
        <f t="shared" si="22"/>
        <v>437</v>
      </c>
      <c r="C421" s="384" t="s">
        <v>2299</v>
      </c>
      <c r="D421" s="321" t="s">
        <v>3096</v>
      </c>
      <c r="E421" s="878">
        <v>77</v>
      </c>
      <c r="F421" s="280">
        <f t="shared" si="21"/>
        <v>77</v>
      </c>
    </row>
    <row r="422" spans="1:6" ht="19.5" customHeight="1">
      <c r="A422" s="190">
        <v>416</v>
      </c>
      <c r="B422" s="190">
        <f t="shared" si="22"/>
        <v>438</v>
      </c>
      <c r="C422" s="928" t="s">
        <v>200</v>
      </c>
      <c r="D422" s="321" t="s">
        <v>3096</v>
      </c>
      <c r="E422" s="878">
        <v>58</v>
      </c>
      <c r="F422" s="280">
        <f t="shared" si="21"/>
        <v>58</v>
      </c>
    </row>
    <row r="423" spans="1:6" ht="19.5" customHeight="1">
      <c r="A423" s="190">
        <v>417</v>
      </c>
      <c r="B423" s="190">
        <f t="shared" si="22"/>
        <v>439</v>
      </c>
      <c r="C423" s="929" t="s">
        <v>2224</v>
      </c>
      <c r="D423" s="321"/>
      <c r="E423" s="190"/>
      <c r="F423" s="280"/>
    </row>
    <row r="424" spans="1:6" ht="33">
      <c r="A424" s="190">
        <v>418</v>
      </c>
      <c r="B424" s="190"/>
      <c r="C424" s="918" t="s">
        <v>3948</v>
      </c>
      <c r="D424" s="315" t="s">
        <v>2110</v>
      </c>
      <c r="E424" s="190">
        <f>49*10.76</f>
        <v>527.24</v>
      </c>
      <c r="F424" s="280">
        <f t="shared" si="21"/>
        <v>527.24</v>
      </c>
    </row>
    <row r="425" spans="1:6" ht="30">
      <c r="A425" s="190">
        <v>419</v>
      </c>
      <c r="B425" s="190"/>
      <c r="C425" s="918" t="s">
        <v>1190</v>
      </c>
      <c r="D425" s="315" t="s">
        <v>2110</v>
      </c>
      <c r="E425" s="190">
        <f>55*10.76</f>
        <v>591.79999999999995</v>
      </c>
      <c r="F425" s="280">
        <f t="shared" si="21"/>
        <v>591.79999999999995</v>
      </c>
    </row>
    <row r="426" spans="1:6" ht="18">
      <c r="A426" s="190">
        <v>420</v>
      </c>
      <c r="B426" s="190">
        <v>440</v>
      </c>
      <c r="C426" s="904" t="s">
        <v>2300</v>
      </c>
      <c r="D426" s="315" t="s">
        <v>1101</v>
      </c>
      <c r="E426" s="878">
        <v>900</v>
      </c>
      <c r="F426" s="280">
        <f t="shared" si="21"/>
        <v>900</v>
      </c>
    </row>
    <row r="427" spans="1:6" ht="18">
      <c r="A427" s="190">
        <v>421</v>
      </c>
      <c r="B427" s="190">
        <v>441</v>
      </c>
      <c r="C427" s="929" t="s">
        <v>2224</v>
      </c>
      <c r="D427" s="315"/>
      <c r="E427" s="891"/>
      <c r="F427" s="280"/>
    </row>
    <row r="428" spans="1:6" ht="19.5" customHeight="1">
      <c r="A428" s="190">
        <v>422</v>
      </c>
      <c r="B428" s="190"/>
      <c r="C428" s="929" t="s">
        <v>1102</v>
      </c>
      <c r="D428" s="315"/>
      <c r="E428" s="190"/>
      <c r="F428" s="280"/>
    </row>
    <row r="429" spans="1:6" ht="19.5" customHeight="1">
      <c r="A429" s="190">
        <v>423</v>
      </c>
      <c r="B429" s="190"/>
      <c r="C429" s="930" t="s">
        <v>1103</v>
      </c>
      <c r="D429" s="315" t="s">
        <v>2110</v>
      </c>
      <c r="E429" s="190">
        <f>10.76*38</f>
        <v>408.88</v>
      </c>
      <c r="F429" s="280">
        <f t="shared" si="21"/>
        <v>408.88</v>
      </c>
    </row>
    <row r="430" spans="1:6" ht="19.5" customHeight="1">
      <c r="A430" s="190">
        <v>424</v>
      </c>
      <c r="B430" s="190"/>
      <c r="C430" s="930" t="s">
        <v>3262</v>
      </c>
      <c r="D430" s="315" t="s">
        <v>2110</v>
      </c>
      <c r="E430" s="190">
        <f t="shared" ref="E430:E431" si="23">10.76*38</f>
        <v>408.88</v>
      </c>
      <c r="F430" s="280">
        <f t="shared" si="21"/>
        <v>408.88</v>
      </c>
    </row>
    <row r="431" spans="1:6" ht="19.5" customHeight="1">
      <c r="A431" s="190">
        <v>425</v>
      </c>
      <c r="B431" s="190"/>
      <c r="C431" s="930" t="s">
        <v>3263</v>
      </c>
      <c r="D431" s="315" t="s">
        <v>2110</v>
      </c>
      <c r="E431" s="190">
        <f t="shared" si="23"/>
        <v>408.88</v>
      </c>
      <c r="F431" s="280">
        <f t="shared" ref="F431:F487" si="24">E431</f>
        <v>408.88</v>
      </c>
    </row>
    <row r="432" spans="1:6" ht="19.5" customHeight="1">
      <c r="A432" s="190">
        <v>426</v>
      </c>
      <c r="B432" s="190"/>
      <c r="C432" s="929" t="s">
        <v>3264</v>
      </c>
      <c r="D432" s="315"/>
      <c r="E432" s="190"/>
      <c r="F432" s="280"/>
    </row>
    <row r="433" spans="1:6" ht="19.5" customHeight="1">
      <c r="A433" s="190">
        <v>427</v>
      </c>
      <c r="B433" s="190"/>
      <c r="C433" s="930" t="s">
        <v>1103</v>
      </c>
      <c r="D433" s="315" t="s">
        <v>2110</v>
      </c>
      <c r="E433" s="190">
        <f>10.76*40</f>
        <v>430.4</v>
      </c>
      <c r="F433" s="280">
        <f t="shared" si="24"/>
        <v>430.4</v>
      </c>
    </row>
    <row r="434" spans="1:6" ht="19.5" customHeight="1">
      <c r="A434" s="190">
        <v>428</v>
      </c>
      <c r="B434" s="190"/>
      <c r="C434" s="930" t="s">
        <v>3262</v>
      </c>
      <c r="D434" s="315" t="s">
        <v>2110</v>
      </c>
      <c r="E434" s="190">
        <f t="shared" ref="E434:E435" si="25">10.76*40</f>
        <v>430.4</v>
      </c>
      <c r="F434" s="280">
        <f t="shared" si="24"/>
        <v>430.4</v>
      </c>
    </row>
    <row r="435" spans="1:6" ht="19.5" customHeight="1">
      <c r="A435" s="190">
        <v>429</v>
      </c>
      <c r="B435" s="190"/>
      <c r="C435" s="930" t="s">
        <v>3263</v>
      </c>
      <c r="D435" s="315" t="s">
        <v>2110</v>
      </c>
      <c r="E435" s="190">
        <f t="shared" si="25"/>
        <v>430.4</v>
      </c>
      <c r="F435" s="280">
        <f t="shared" si="24"/>
        <v>430.4</v>
      </c>
    </row>
    <row r="436" spans="1:6" ht="19.5" customHeight="1">
      <c r="A436" s="190">
        <v>430</v>
      </c>
      <c r="B436" s="190"/>
      <c r="C436" s="929" t="s">
        <v>3265</v>
      </c>
      <c r="D436" s="315"/>
      <c r="E436" s="462"/>
      <c r="F436" s="280"/>
    </row>
    <row r="437" spans="1:6" ht="19.5" customHeight="1">
      <c r="A437" s="190">
        <v>431</v>
      </c>
      <c r="B437" s="190"/>
      <c r="C437" s="930" t="s">
        <v>3266</v>
      </c>
      <c r="D437" s="315" t="s">
        <v>2110</v>
      </c>
      <c r="E437" s="190">
        <f>10.76*46</f>
        <v>494.96</v>
      </c>
      <c r="F437" s="280">
        <f t="shared" si="24"/>
        <v>494.96</v>
      </c>
    </row>
    <row r="438" spans="1:6" ht="19.5" customHeight="1">
      <c r="A438" s="190">
        <v>432</v>
      </c>
      <c r="B438" s="190"/>
      <c r="C438" s="930" t="s">
        <v>3267</v>
      </c>
      <c r="D438" s="315" t="s">
        <v>2110</v>
      </c>
      <c r="E438" s="190">
        <f t="shared" ref="E438:E442" si="26">10.76*46</f>
        <v>494.96</v>
      </c>
      <c r="F438" s="280">
        <f t="shared" si="24"/>
        <v>494.96</v>
      </c>
    </row>
    <row r="439" spans="1:6" ht="19.5" customHeight="1">
      <c r="A439" s="190">
        <v>433</v>
      </c>
      <c r="B439" s="190"/>
      <c r="C439" s="930" t="s">
        <v>3268</v>
      </c>
      <c r="D439" s="315" t="s">
        <v>2110</v>
      </c>
      <c r="E439" s="190">
        <f t="shared" si="26"/>
        <v>494.96</v>
      </c>
      <c r="F439" s="280">
        <f t="shared" si="24"/>
        <v>494.96</v>
      </c>
    </row>
    <row r="440" spans="1:6" ht="19.5" customHeight="1">
      <c r="A440" s="190">
        <v>434</v>
      </c>
      <c r="B440" s="190"/>
      <c r="C440" s="930" t="s">
        <v>3269</v>
      </c>
      <c r="D440" s="315" t="s">
        <v>2110</v>
      </c>
      <c r="E440" s="190">
        <f t="shared" si="26"/>
        <v>494.96</v>
      </c>
      <c r="F440" s="280">
        <f t="shared" si="24"/>
        <v>494.96</v>
      </c>
    </row>
    <row r="441" spans="1:6" ht="19.5" customHeight="1">
      <c r="A441" s="190">
        <v>435</v>
      </c>
      <c r="B441" s="190"/>
      <c r="C441" s="930" t="s">
        <v>3270</v>
      </c>
      <c r="D441" s="315" t="s">
        <v>2110</v>
      </c>
      <c r="E441" s="190">
        <f t="shared" si="26"/>
        <v>494.96</v>
      </c>
      <c r="F441" s="280">
        <f t="shared" si="24"/>
        <v>494.96</v>
      </c>
    </row>
    <row r="442" spans="1:6" ht="19.5" customHeight="1">
      <c r="A442" s="190">
        <v>436</v>
      </c>
      <c r="B442" s="190"/>
      <c r="C442" s="930" t="s">
        <v>3271</v>
      </c>
      <c r="D442" s="315" t="s">
        <v>2110</v>
      </c>
      <c r="E442" s="190">
        <f t="shared" si="26"/>
        <v>494.96</v>
      </c>
      <c r="F442" s="280">
        <f t="shared" si="24"/>
        <v>494.96</v>
      </c>
    </row>
    <row r="443" spans="1:6" ht="19.5" customHeight="1">
      <c r="A443" s="190">
        <v>437</v>
      </c>
      <c r="B443" s="190"/>
      <c r="C443" s="929" t="s">
        <v>3272</v>
      </c>
      <c r="D443" s="315"/>
      <c r="E443" s="462"/>
      <c r="F443" s="280"/>
    </row>
    <row r="444" spans="1:6" ht="19.5" customHeight="1">
      <c r="A444" s="190">
        <v>438</v>
      </c>
      <c r="B444" s="190"/>
      <c r="C444" s="930" t="s">
        <v>3266</v>
      </c>
      <c r="D444" s="315" t="s">
        <v>2110</v>
      </c>
      <c r="E444" s="190">
        <f>10.76*47</f>
        <v>505.71999999999997</v>
      </c>
      <c r="F444" s="280">
        <f t="shared" si="24"/>
        <v>505.71999999999997</v>
      </c>
    </row>
    <row r="445" spans="1:6" ht="19.5" customHeight="1">
      <c r="A445" s="190">
        <v>439</v>
      </c>
      <c r="B445" s="190"/>
      <c r="C445" s="930" t="s">
        <v>3267</v>
      </c>
      <c r="D445" s="315" t="s">
        <v>2110</v>
      </c>
      <c r="E445" s="190">
        <f t="shared" ref="E445:E449" si="27">10.76*47</f>
        <v>505.71999999999997</v>
      </c>
      <c r="F445" s="280">
        <f t="shared" si="24"/>
        <v>505.71999999999997</v>
      </c>
    </row>
    <row r="446" spans="1:6" ht="19.5" customHeight="1">
      <c r="A446" s="190">
        <v>440</v>
      </c>
      <c r="B446" s="190"/>
      <c r="C446" s="930" t="s">
        <v>3268</v>
      </c>
      <c r="D446" s="315" t="s">
        <v>2110</v>
      </c>
      <c r="E446" s="190">
        <f t="shared" si="27"/>
        <v>505.71999999999997</v>
      </c>
      <c r="F446" s="280">
        <f t="shared" si="24"/>
        <v>505.71999999999997</v>
      </c>
    </row>
    <row r="447" spans="1:6" ht="19.5" customHeight="1">
      <c r="A447" s="190">
        <v>441</v>
      </c>
      <c r="B447" s="190"/>
      <c r="C447" s="930" t="s">
        <v>3269</v>
      </c>
      <c r="D447" s="315" t="s">
        <v>2110</v>
      </c>
      <c r="E447" s="190">
        <f t="shared" si="27"/>
        <v>505.71999999999997</v>
      </c>
      <c r="F447" s="280">
        <f t="shared" si="24"/>
        <v>505.71999999999997</v>
      </c>
    </row>
    <row r="448" spans="1:6" ht="19.5" customHeight="1">
      <c r="A448" s="190">
        <v>442</v>
      </c>
      <c r="B448" s="190"/>
      <c r="C448" s="930" t="s">
        <v>3270</v>
      </c>
      <c r="D448" s="315" t="s">
        <v>2110</v>
      </c>
      <c r="E448" s="190">
        <f t="shared" si="27"/>
        <v>505.71999999999997</v>
      </c>
      <c r="F448" s="280">
        <f t="shared" si="24"/>
        <v>505.71999999999997</v>
      </c>
    </row>
    <row r="449" spans="1:6" ht="19.5" customHeight="1">
      <c r="A449" s="190">
        <v>443</v>
      </c>
      <c r="B449" s="190"/>
      <c r="C449" s="930" t="s">
        <v>3271</v>
      </c>
      <c r="D449" s="315" t="s">
        <v>2110</v>
      </c>
      <c r="E449" s="190">
        <f t="shared" si="27"/>
        <v>505.71999999999997</v>
      </c>
      <c r="F449" s="280">
        <f t="shared" si="24"/>
        <v>505.71999999999997</v>
      </c>
    </row>
    <row r="450" spans="1:6" ht="19.5" customHeight="1">
      <c r="A450" s="190">
        <v>444</v>
      </c>
      <c r="B450" s="190"/>
      <c r="C450" s="929" t="s">
        <v>3273</v>
      </c>
      <c r="D450" s="315"/>
      <c r="E450" s="190"/>
      <c r="F450" s="280"/>
    </row>
    <row r="451" spans="1:6" ht="19.5" customHeight="1">
      <c r="A451" s="190">
        <v>445</v>
      </c>
      <c r="B451" s="190"/>
      <c r="C451" s="930" t="s">
        <v>3266</v>
      </c>
      <c r="D451" s="315" t="s">
        <v>2110</v>
      </c>
      <c r="E451" s="190">
        <f>10.76*48</f>
        <v>516.48</v>
      </c>
      <c r="F451" s="280">
        <f t="shared" si="24"/>
        <v>516.48</v>
      </c>
    </row>
    <row r="452" spans="1:6" ht="19.5" customHeight="1">
      <c r="A452" s="190">
        <v>446</v>
      </c>
      <c r="B452" s="190"/>
      <c r="C452" s="930" t="s">
        <v>3267</v>
      </c>
      <c r="D452" s="315" t="s">
        <v>2110</v>
      </c>
      <c r="E452" s="190">
        <f t="shared" ref="E452:E456" si="28">10.76*48</f>
        <v>516.48</v>
      </c>
      <c r="F452" s="280">
        <f t="shared" si="24"/>
        <v>516.48</v>
      </c>
    </row>
    <row r="453" spans="1:6" ht="19.5" customHeight="1">
      <c r="A453" s="190">
        <v>447</v>
      </c>
      <c r="B453" s="190"/>
      <c r="C453" s="930" t="s">
        <v>3268</v>
      </c>
      <c r="D453" s="315" t="s">
        <v>2110</v>
      </c>
      <c r="E453" s="190">
        <f t="shared" si="28"/>
        <v>516.48</v>
      </c>
      <c r="F453" s="280">
        <f t="shared" si="24"/>
        <v>516.48</v>
      </c>
    </row>
    <row r="454" spans="1:6" ht="19.5" customHeight="1">
      <c r="A454" s="190">
        <v>448</v>
      </c>
      <c r="B454" s="190"/>
      <c r="C454" s="930" t="s">
        <v>3269</v>
      </c>
      <c r="D454" s="315" t="s">
        <v>2110</v>
      </c>
      <c r="E454" s="190">
        <f t="shared" si="28"/>
        <v>516.48</v>
      </c>
      <c r="F454" s="280">
        <f t="shared" si="24"/>
        <v>516.48</v>
      </c>
    </row>
    <row r="455" spans="1:6" ht="19.5" customHeight="1">
      <c r="A455" s="190">
        <v>449</v>
      </c>
      <c r="B455" s="190"/>
      <c r="C455" s="930" t="s">
        <v>3270</v>
      </c>
      <c r="D455" s="315" t="s">
        <v>2110</v>
      </c>
      <c r="E455" s="190">
        <f t="shared" si="28"/>
        <v>516.48</v>
      </c>
      <c r="F455" s="280">
        <f t="shared" si="24"/>
        <v>516.48</v>
      </c>
    </row>
    <row r="456" spans="1:6" ht="19.5" customHeight="1">
      <c r="A456" s="190">
        <v>450</v>
      </c>
      <c r="B456" s="190"/>
      <c r="C456" s="930" t="s">
        <v>3271</v>
      </c>
      <c r="D456" s="315" t="s">
        <v>2110</v>
      </c>
      <c r="E456" s="190">
        <f t="shared" si="28"/>
        <v>516.48</v>
      </c>
      <c r="F456" s="280">
        <f t="shared" si="24"/>
        <v>516.48</v>
      </c>
    </row>
    <row r="457" spans="1:6" ht="19.5" customHeight="1">
      <c r="A457" s="190">
        <v>451</v>
      </c>
      <c r="B457" s="190"/>
      <c r="C457" s="929" t="s">
        <v>3274</v>
      </c>
      <c r="D457" s="315"/>
      <c r="E457" s="462"/>
      <c r="F457" s="280"/>
    </row>
    <row r="458" spans="1:6" ht="19.5" customHeight="1">
      <c r="A458" s="190">
        <v>452</v>
      </c>
      <c r="B458" s="190"/>
      <c r="C458" s="930" t="s">
        <v>3266</v>
      </c>
      <c r="D458" s="315" t="s">
        <v>2110</v>
      </c>
      <c r="E458" s="462">
        <f>10.76*49</f>
        <v>527.24</v>
      </c>
      <c r="F458" s="280">
        <f t="shared" si="24"/>
        <v>527.24</v>
      </c>
    </row>
    <row r="459" spans="1:6" ht="19.5" customHeight="1">
      <c r="A459" s="190">
        <v>453</v>
      </c>
      <c r="B459" s="190"/>
      <c r="C459" s="930" t="s">
        <v>3267</v>
      </c>
      <c r="D459" s="315" t="s">
        <v>2110</v>
      </c>
      <c r="E459" s="462">
        <f t="shared" ref="E459:E463" si="29">10.76*49</f>
        <v>527.24</v>
      </c>
      <c r="F459" s="280">
        <f t="shared" si="24"/>
        <v>527.24</v>
      </c>
    </row>
    <row r="460" spans="1:6" ht="19.5" customHeight="1">
      <c r="A460" s="190">
        <v>454</v>
      </c>
      <c r="B460" s="190"/>
      <c r="C460" s="930" t="s">
        <v>3268</v>
      </c>
      <c r="D460" s="315" t="s">
        <v>2110</v>
      </c>
      <c r="E460" s="462">
        <f t="shared" si="29"/>
        <v>527.24</v>
      </c>
      <c r="F460" s="280">
        <f t="shared" si="24"/>
        <v>527.24</v>
      </c>
    </row>
    <row r="461" spans="1:6" ht="19.5" customHeight="1">
      <c r="A461" s="190">
        <v>455</v>
      </c>
      <c r="B461" s="190"/>
      <c r="C461" s="930" t="s">
        <v>3269</v>
      </c>
      <c r="D461" s="315" t="s">
        <v>2110</v>
      </c>
      <c r="E461" s="462">
        <f t="shared" si="29"/>
        <v>527.24</v>
      </c>
      <c r="F461" s="280">
        <f t="shared" si="24"/>
        <v>527.24</v>
      </c>
    </row>
    <row r="462" spans="1:6" ht="19.5" customHeight="1">
      <c r="A462" s="190">
        <v>456</v>
      </c>
      <c r="B462" s="190"/>
      <c r="C462" s="930" t="s">
        <v>3270</v>
      </c>
      <c r="D462" s="315" t="s">
        <v>2110</v>
      </c>
      <c r="E462" s="462">
        <f t="shared" si="29"/>
        <v>527.24</v>
      </c>
      <c r="F462" s="280">
        <f t="shared" si="24"/>
        <v>527.24</v>
      </c>
    </row>
    <row r="463" spans="1:6" ht="19.5" customHeight="1">
      <c r="A463" s="190">
        <v>457</v>
      </c>
      <c r="B463" s="190"/>
      <c r="C463" s="930" t="s">
        <v>3271</v>
      </c>
      <c r="D463" s="315" t="s">
        <v>2110</v>
      </c>
      <c r="E463" s="462">
        <f t="shared" si="29"/>
        <v>527.24</v>
      </c>
      <c r="F463" s="280">
        <f t="shared" si="24"/>
        <v>527.24</v>
      </c>
    </row>
    <row r="464" spans="1:6" ht="19.5" customHeight="1">
      <c r="A464" s="190">
        <v>458</v>
      </c>
      <c r="B464" s="190"/>
      <c r="C464" s="929" t="s">
        <v>3276</v>
      </c>
      <c r="D464" s="315"/>
      <c r="E464" s="892"/>
      <c r="F464" s="280"/>
    </row>
    <row r="465" spans="1:6" ht="19.5" customHeight="1">
      <c r="A465" s="190">
        <v>459</v>
      </c>
      <c r="B465" s="190"/>
      <c r="C465" s="930" t="s">
        <v>3266</v>
      </c>
      <c r="D465" s="315" t="s">
        <v>2110</v>
      </c>
      <c r="E465" s="462">
        <f>55*10.76</f>
        <v>591.79999999999995</v>
      </c>
      <c r="F465" s="280">
        <f t="shared" si="24"/>
        <v>591.79999999999995</v>
      </c>
    </row>
    <row r="466" spans="1:6" ht="19.5" customHeight="1">
      <c r="A466" s="190">
        <v>460</v>
      </c>
      <c r="B466" s="190"/>
      <c r="C466" s="930" t="s">
        <v>3267</v>
      </c>
      <c r="D466" s="315" t="s">
        <v>2110</v>
      </c>
      <c r="E466" s="462">
        <f t="shared" ref="E466:E470" si="30">55*10.76</f>
        <v>591.79999999999995</v>
      </c>
      <c r="F466" s="280">
        <f t="shared" si="24"/>
        <v>591.79999999999995</v>
      </c>
    </row>
    <row r="467" spans="1:6" ht="19.5" customHeight="1">
      <c r="A467" s="190">
        <v>461</v>
      </c>
      <c r="B467" s="190"/>
      <c r="C467" s="930" t="s">
        <v>3268</v>
      </c>
      <c r="D467" s="315" t="s">
        <v>2110</v>
      </c>
      <c r="E467" s="462">
        <f t="shared" si="30"/>
        <v>591.79999999999995</v>
      </c>
      <c r="F467" s="280">
        <f t="shared" si="24"/>
        <v>591.79999999999995</v>
      </c>
    </row>
    <row r="468" spans="1:6" ht="19.5" customHeight="1">
      <c r="A468" s="190">
        <v>462</v>
      </c>
      <c r="B468" s="190"/>
      <c r="C468" s="930" t="s">
        <v>3269</v>
      </c>
      <c r="D468" s="315" t="s">
        <v>2110</v>
      </c>
      <c r="E468" s="462">
        <f t="shared" si="30"/>
        <v>591.79999999999995</v>
      </c>
      <c r="F468" s="280">
        <f t="shared" si="24"/>
        <v>591.79999999999995</v>
      </c>
    </row>
    <row r="469" spans="1:6" ht="19.5" customHeight="1">
      <c r="A469" s="190">
        <v>463</v>
      </c>
      <c r="B469" s="190"/>
      <c r="C469" s="930" t="s">
        <v>3270</v>
      </c>
      <c r="D469" s="315" t="s">
        <v>2110</v>
      </c>
      <c r="E469" s="462">
        <f t="shared" si="30"/>
        <v>591.79999999999995</v>
      </c>
      <c r="F469" s="280">
        <f t="shared" si="24"/>
        <v>591.79999999999995</v>
      </c>
    </row>
    <row r="470" spans="1:6" ht="19.5" customHeight="1">
      <c r="A470" s="190">
        <v>464</v>
      </c>
      <c r="B470" s="190"/>
      <c r="C470" s="930" t="s">
        <v>3271</v>
      </c>
      <c r="D470" s="315" t="s">
        <v>2110</v>
      </c>
      <c r="E470" s="462">
        <f t="shared" si="30"/>
        <v>591.79999999999995</v>
      </c>
      <c r="F470" s="280">
        <f t="shared" si="24"/>
        <v>591.79999999999995</v>
      </c>
    </row>
    <row r="471" spans="1:6" ht="19.5" customHeight="1">
      <c r="A471" s="190">
        <v>465</v>
      </c>
      <c r="B471" s="190">
        <v>442</v>
      </c>
      <c r="C471" s="345" t="s">
        <v>2301</v>
      </c>
      <c r="D471" s="321" t="s">
        <v>3096</v>
      </c>
      <c r="E471" s="878">
        <v>76</v>
      </c>
      <c r="F471" s="280">
        <f t="shared" si="24"/>
        <v>76</v>
      </c>
    </row>
    <row r="472" spans="1:6" ht="37.5">
      <c r="A472" s="190">
        <v>466</v>
      </c>
      <c r="B472" s="191">
        <v>443</v>
      </c>
      <c r="C472" s="931" t="s">
        <v>2778</v>
      </c>
      <c r="D472" s="190"/>
      <c r="E472" s="190"/>
      <c r="F472" s="280"/>
    </row>
    <row r="473" spans="1:6">
      <c r="A473" s="190">
        <v>467</v>
      </c>
      <c r="B473" s="191"/>
      <c r="C473" s="932" t="s">
        <v>2779</v>
      </c>
      <c r="D473" s="190"/>
      <c r="E473" s="190"/>
      <c r="F473" s="280"/>
    </row>
    <row r="474" spans="1:6" ht="15.75">
      <c r="A474" s="190">
        <v>468</v>
      </c>
      <c r="B474" s="191"/>
      <c r="C474" s="933" t="s">
        <v>2780</v>
      </c>
      <c r="D474" s="190" t="s">
        <v>2110</v>
      </c>
      <c r="E474" s="190">
        <f>310*10.76</f>
        <v>3335.6</v>
      </c>
      <c r="F474" s="280">
        <f t="shared" si="24"/>
        <v>3335.6</v>
      </c>
    </row>
    <row r="475" spans="1:6" ht="15.75">
      <c r="A475" s="190">
        <v>469</v>
      </c>
      <c r="B475" s="191"/>
      <c r="C475" s="933" t="s">
        <v>2781</v>
      </c>
      <c r="D475" s="190" t="s">
        <v>2110</v>
      </c>
      <c r="E475" s="190">
        <f>329*10.76</f>
        <v>3540.04</v>
      </c>
      <c r="F475" s="280">
        <f t="shared" si="24"/>
        <v>3540.04</v>
      </c>
    </row>
    <row r="476" spans="1:6" ht="15.75">
      <c r="A476" s="190">
        <v>470</v>
      </c>
      <c r="B476" s="191"/>
      <c r="C476" s="933" t="s">
        <v>2782</v>
      </c>
      <c r="D476" s="190" t="s">
        <v>2110</v>
      </c>
      <c r="E476" s="190">
        <f>350*10.76</f>
        <v>3766</v>
      </c>
      <c r="F476" s="280">
        <f t="shared" si="24"/>
        <v>3766</v>
      </c>
    </row>
    <row r="477" spans="1:6" ht="15.75">
      <c r="A477" s="190">
        <v>471</v>
      </c>
      <c r="B477" s="191"/>
      <c r="C477" s="933" t="s">
        <v>2783</v>
      </c>
      <c r="D477" s="190" t="s">
        <v>2110</v>
      </c>
      <c r="E477" s="190">
        <f>350*10.76</f>
        <v>3766</v>
      </c>
      <c r="F477" s="280">
        <f t="shared" si="24"/>
        <v>3766</v>
      </c>
    </row>
    <row r="478" spans="1:6" ht="15.75">
      <c r="A478" s="190">
        <v>472</v>
      </c>
      <c r="B478" s="191"/>
      <c r="C478" s="933" t="s">
        <v>2784</v>
      </c>
      <c r="D478" s="190" t="s">
        <v>2110</v>
      </c>
      <c r="E478" s="190">
        <f>372*10.76</f>
        <v>4002.72</v>
      </c>
      <c r="F478" s="280">
        <f t="shared" si="24"/>
        <v>4002.72</v>
      </c>
    </row>
    <row r="479" spans="1:6" ht="15.75">
      <c r="A479" s="190">
        <v>473</v>
      </c>
      <c r="B479" s="191"/>
      <c r="C479" s="933" t="s">
        <v>2785</v>
      </c>
      <c r="D479" s="190" t="s">
        <v>2110</v>
      </c>
      <c r="E479" s="190">
        <f>416*10.76</f>
        <v>4476.16</v>
      </c>
      <c r="F479" s="280">
        <f t="shared" si="24"/>
        <v>4476.16</v>
      </c>
    </row>
    <row r="480" spans="1:6" ht="15.75">
      <c r="A480" s="190">
        <v>474</v>
      </c>
      <c r="B480" s="191"/>
      <c r="C480" s="933" t="s">
        <v>2786</v>
      </c>
      <c r="D480" s="190" t="s">
        <v>2110</v>
      </c>
      <c r="E480" s="190">
        <f>378*10.76</f>
        <v>4067.2799999999997</v>
      </c>
      <c r="F480" s="280">
        <f t="shared" si="24"/>
        <v>4067.2799999999997</v>
      </c>
    </row>
    <row r="481" spans="1:6" ht="15.75">
      <c r="A481" s="190">
        <v>475</v>
      </c>
      <c r="B481" s="191"/>
      <c r="C481" s="933" t="s">
        <v>2787</v>
      </c>
      <c r="D481" s="190" t="s">
        <v>2110</v>
      </c>
      <c r="E481" s="190">
        <f>397*10.76</f>
        <v>4271.72</v>
      </c>
      <c r="F481" s="280">
        <f t="shared" si="24"/>
        <v>4271.72</v>
      </c>
    </row>
    <row r="482" spans="1:6" ht="15.75">
      <c r="A482" s="190">
        <v>476</v>
      </c>
      <c r="B482" s="191"/>
      <c r="C482" s="933" t="s">
        <v>2788</v>
      </c>
      <c r="D482" s="190" t="s">
        <v>2110</v>
      </c>
      <c r="E482" s="190">
        <f>448*10.76</f>
        <v>4820.4799999999996</v>
      </c>
      <c r="F482" s="280">
        <f t="shared" si="24"/>
        <v>4820.4799999999996</v>
      </c>
    </row>
    <row r="483" spans="1:6" ht="15.75">
      <c r="A483" s="190">
        <v>477</v>
      </c>
      <c r="B483" s="191"/>
      <c r="C483" s="933"/>
      <c r="D483" s="190"/>
      <c r="E483" s="816"/>
      <c r="F483" s="280"/>
    </row>
    <row r="484" spans="1:6" ht="15.75">
      <c r="A484" s="190">
        <v>478</v>
      </c>
      <c r="B484" s="191">
        <v>444</v>
      </c>
      <c r="C484" s="933" t="s">
        <v>3705</v>
      </c>
      <c r="D484" s="190"/>
      <c r="E484" s="816"/>
      <c r="F484" s="280"/>
    </row>
    <row r="485" spans="1:6" ht="15.75">
      <c r="A485" s="190">
        <v>479</v>
      </c>
      <c r="B485" s="191">
        <v>1</v>
      </c>
      <c r="C485" s="933" t="s">
        <v>3706</v>
      </c>
      <c r="D485" s="815" t="s">
        <v>3726</v>
      </c>
      <c r="E485" s="817">
        <v>98</v>
      </c>
      <c r="F485" s="280">
        <f t="shared" si="24"/>
        <v>98</v>
      </c>
    </row>
    <row r="486" spans="1:6" ht="15.75">
      <c r="A486" s="190">
        <v>480</v>
      </c>
      <c r="B486" s="191">
        <v>2</v>
      </c>
      <c r="C486" s="933" t="s">
        <v>3707</v>
      </c>
      <c r="D486" s="815" t="s">
        <v>3726</v>
      </c>
      <c r="E486" s="817">
        <v>125</v>
      </c>
      <c r="F486" s="280">
        <f t="shared" si="24"/>
        <v>125</v>
      </c>
    </row>
    <row r="487" spans="1:6" ht="15.75">
      <c r="A487" s="190">
        <v>481</v>
      </c>
      <c r="B487" s="191">
        <v>3</v>
      </c>
      <c r="C487" s="933" t="s">
        <v>3708</v>
      </c>
      <c r="D487" s="815" t="s">
        <v>3726</v>
      </c>
      <c r="E487" s="817">
        <v>250</v>
      </c>
      <c r="F487" s="280">
        <f t="shared" si="24"/>
        <v>250</v>
      </c>
    </row>
    <row r="488" spans="1:6" ht="15.75">
      <c r="A488" s="190">
        <v>482</v>
      </c>
      <c r="B488" s="191">
        <f>B487+1</f>
        <v>4</v>
      </c>
      <c r="C488" s="933" t="s">
        <v>3709</v>
      </c>
      <c r="D488" s="815" t="s">
        <v>3330</v>
      </c>
      <c r="E488" s="817">
        <v>289</v>
      </c>
      <c r="F488" s="280">
        <f t="shared" ref="F488:F533" si="31">E488</f>
        <v>289</v>
      </c>
    </row>
    <row r="489" spans="1:6" ht="15.75">
      <c r="A489" s="190">
        <v>483</v>
      </c>
      <c r="B489" s="191">
        <f t="shared" ref="B489:B508" si="32">B488+1</f>
        <v>5</v>
      </c>
      <c r="C489" s="933" t="s">
        <v>3951</v>
      </c>
      <c r="D489" s="774" t="s">
        <v>3949</v>
      </c>
      <c r="E489" s="818">
        <v>9247.7000000000007</v>
      </c>
      <c r="F489" s="280">
        <f t="shared" si="31"/>
        <v>9247.7000000000007</v>
      </c>
    </row>
    <row r="490" spans="1:6" ht="15.75">
      <c r="A490" s="190">
        <v>484</v>
      </c>
      <c r="B490" s="191">
        <f t="shared" si="32"/>
        <v>6</v>
      </c>
      <c r="C490" s="933" t="s">
        <v>4311</v>
      </c>
      <c r="D490" s="815" t="s">
        <v>4312</v>
      </c>
      <c r="E490" s="817">
        <v>9.1999999999999993</v>
      </c>
      <c r="F490" s="280">
        <v>368</v>
      </c>
    </row>
    <row r="491" spans="1:6" ht="15.75">
      <c r="A491" s="190">
        <v>485</v>
      </c>
      <c r="B491" s="191">
        <f t="shared" si="32"/>
        <v>7</v>
      </c>
      <c r="C491" s="933" t="s">
        <v>3710</v>
      </c>
      <c r="D491" s="774"/>
      <c r="E491" s="816"/>
      <c r="F491" s="280">
        <f t="shared" si="31"/>
        <v>0</v>
      </c>
    </row>
    <row r="492" spans="1:6" ht="15.75">
      <c r="A492" s="190">
        <v>486</v>
      </c>
      <c r="B492" s="191">
        <f t="shared" si="32"/>
        <v>8</v>
      </c>
      <c r="C492" s="933" t="s">
        <v>4044</v>
      </c>
      <c r="D492" s="774" t="s">
        <v>3330</v>
      </c>
      <c r="E492" s="190">
        <v>180</v>
      </c>
      <c r="F492" s="280">
        <f t="shared" si="31"/>
        <v>180</v>
      </c>
    </row>
    <row r="493" spans="1:6">
      <c r="A493" s="190">
        <v>487</v>
      </c>
      <c r="B493" s="191">
        <f t="shared" si="32"/>
        <v>9</v>
      </c>
      <c r="C493" s="848" t="s">
        <v>3711</v>
      </c>
      <c r="D493" s="774"/>
      <c r="E493" s="816"/>
      <c r="F493" s="280">
        <f t="shared" si="31"/>
        <v>0</v>
      </c>
    </row>
    <row r="494" spans="1:6">
      <c r="A494" s="190">
        <v>488</v>
      </c>
      <c r="B494" s="191">
        <f t="shared" si="32"/>
        <v>10</v>
      </c>
      <c r="C494" s="848" t="s">
        <v>3712</v>
      </c>
      <c r="D494" s="774"/>
      <c r="E494" s="816"/>
      <c r="F494" s="280">
        <f t="shared" si="31"/>
        <v>0</v>
      </c>
    </row>
    <row r="495" spans="1:6">
      <c r="A495" s="190">
        <v>489</v>
      </c>
      <c r="B495" s="191">
        <f t="shared" si="32"/>
        <v>11</v>
      </c>
      <c r="C495" s="848" t="s">
        <v>3713</v>
      </c>
      <c r="D495" s="774"/>
      <c r="E495" s="816"/>
      <c r="F495" s="280">
        <f t="shared" si="31"/>
        <v>0</v>
      </c>
    </row>
    <row r="496" spans="1:6">
      <c r="A496" s="190">
        <v>490</v>
      </c>
      <c r="B496" s="191">
        <f t="shared" si="32"/>
        <v>12</v>
      </c>
      <c r="C496" s="848" t="s">
        <v>3714</v>
      </c>
      <c r="D496" s="774"/>
      <c r="E496" s="816"/>
      <c r="F496" s="280">
        <f t="shared" si="31"/>
        <v>0</v>
      </c>
    </row>
    <row r="497" spans="1:6">
      <c r="A497" s="190">
        <v>491</v>
      </c>
      <c r="B497" s="191">
        <f t="shared" si="32"/>
        <v>13</v>
      </c>
      <c r="C497" s="848" t="s">
        <v>3715</v>
      </c>
      <c r="D497" s="774"/>
      <c r="E497" s="816"/>
      <c r="F497" s="280">
        <f t="shared" si="31"/>
        <v>0</v>
      </c>
    </row>
    <row r="498" spans="1:6">
      <c r="A498" s="190">
        <v>492</v>
      </c>
      <c r="B498" s="191">
        <f t="shared" si="32"/>
        <v>14</v>
      </c>
      <c r="C498" s="848" t="s">
        <v>3716</v>
      </c>
      <c r="D498" s="774"/>
      <c r="E498" s="816"/>
      <c r="F498" s="280">
        <f t="shared" si="31"/>
        <v>0</v>
      </c>
    </row>
    <row r="499" spans="1:6">
      <c r="A499" s="190">
        <v>493</v>
      </c>
      <c r="B499" s="191">
        <f t="shared" si="32"/>
        <v>15</v>
      </c>
      <c r="C499" s="848" t="s">
        <v>3717</v>
      </c>
      <c r="D499" s="774"/>
      <c r="E499" s="816"/>
      <c r="F499" s="280">
        <f t="shared" si="31"/>
        <v>0</v>
      </c>
    </row>
    <row r="500" spans="1:6">
      <c r="A500" s="190">
        <v>494</v>
      </c>
      <c r="B500" s="191">
        <f>B499+1</f>
        <v>16</v>
      </c>
      <c r="C500" s="848" t="s">
        <v>3718</v>
      </c>
      <c r="D500" s="774" t="s">
        <v>3330</v>
      </c>
      <c r="E500" s="190">
        <v>75</v>
      </c>
      <c r="F500" s="280">
        <f t="shared" si="31"/>
        <v>75</v>
      </c>
    </row>
    <row r="501" spans="1:6">
      <c r="A501" s="190">
        <v>495</v>
      </c>
      <c r="B501" s="191">
        <f t="shared" si="32"/>
        <v>17</v>
      </c>
      <c r="C501" s="848" t="s">
        <v>3719</v>
      </c>
      <c r="D501" s="774" t="s">
        <v>3726</v>
      </c>
      <c r="E501" s="816"/>
      <c r="F501" s="280">
        <f t="shared" si="31"/>
        <v>0</v>
      </c>
    </row>
    <row r="502" spans="1:6">
      <c r="A502" s="190">
        <v>496</v>
      </c>
      <c r="B502" s="191">
        <f t="shared" si="32"/>
        <v>18</v>
      </c>
      <c r="C502" s="848" t="s">
        <v>3720</v>
      </c>
      <c r="D502" s="774"/>
      <c r="E502" s="816"/>
      <c r="F502" s="280">
        <f t="shared" si="31"/>
        <v>0</v>
      </c>
    </row>
    <row r="503" spans="1:6">
      <c r="A503" s="190">
        <v>497</v>
      </c>
      <c r="B503" s="191">
        <f t="shared" si="32"/>
        <v>19</v>
      </c>
      <c r="C503" s="848" t="s">
        <v>3721</v>
      </c>
      <c r="D503" s="774"/>
      <c r="E503" s="816"/>
      <c r="F503" s="280">
        <f t="shared" si="31"/>
        <v>0</v>
      </c>
    </row>
    <row r="504" spans="1:6">
      <c r="A504" s="190">
        <v>498</v>
      </c>
      <c r="B504" s="191">
        <f t="shared" si="32"/>
        <v>20</v>
      </c>
      <c r="C504" s="848" t="s">
        <v>3722</v>
      </c>
      <c r="D504" s="774" t="s">
        <v>3844</v>
      </c>
      <c r="E504" s="774">
        <v>700</v>
      </c>
      <c r="F504" s="280">
        <f t="shared" si="31"/>
        <v>700</v>
      </c>
    </row>
    <row r="505" spans="1:6">
      <c r="A505" s="190">
        <v>499</v>
      </c>
      <c r="B505" s="191">
        <f t="shared" si="32"/>
        <v>21</v>
      </c>
      <c r="C505" s="848" t="s">
        <v>3723</v>
      </c>
      <c r="D505" s="774" t="s">
        <v>3844</v>
      </c>
      <c r="E505" s="774">
        <v>550</v>
      </c>
      <c r="F505" s="280">
        <f t="shared" si="31"/>
        <v>550</v>
      </c>
    </row>
    <row r="506" spans="1:6">
      <c r="A506" s="190">
        <v>500</v>
      </c>
      <c r="B506" s="191">
        <v>22</v>
      </c>
      <c r="C506" s="848" t="s">
        <v>3724</v>
      </c>
      <c r="D506" s="774" t="s">
        <v>3844</v>
      </c>
      <c r="E506" s="774">
        <v>1800</v>
      </c>
      <c r="F506" s="280">
        <f t="shared" si="31"/>
        <v>1800</v>
      </c>
    </row>
    <row r="507" spans="1:6">
      <c r="A507" s="190">
        <v>501</v>
      </c>
      <c r="B507" s="191">
        <f t="shared" si="32"/>
        <v>23</v>
      </c>
      <c r="C507" s="848" t="s">
        <v>3952</v>
      </c>
      <c r="D507" s="774" t="s">
        <v>3844</v>
      </c>
      <c r="E507" s="190">
        <v>120</v>
      </c>
      <c r="F507" s="280">
        <f t="shared" si="31"/>
        <v>120</v>
      </c>
    </row>
    <row r="508" spans="1:6">
      <c r="A508" s="190">
        <v>502</v>
      </c>
      <c r="B508" s="191">
        <f t="shared" si="32"/>
        <v>24</v>
      </c>
      <c r="C508" s="848" t="s">
        <v>3725</v>
      </c>
      <c r="D508" s="774"/>
      <c r="E508" s="190">
        <v>0.25</v>
      </c>
      <c r="F508" s="280">
        <f t="shared" si="31"/>
        <v>0.25</v>
      </c>
    </row>
    <row r="509" spans="1:6">
      <c r="A509" s="190">
        <v>503</v>
      </c>
      <c r="B509" s="191">
        <v>26</v>
      </c>
      <c r="C509" s="848" t="s">
        <v>3845</v>
      </c>
      <c r="D509" s="774" t="s">
        <v>3330</v>
      </c>
      <c r="E509" s="190">
        <f>1400/50</f>
        <v>28</v>
      </c>
      <c r="F509" s="190">
        <f t="shared" si="31"/>
        <v>28</v>
      </c>
    </row>
    <row r="510" spans="1:6">
      <c r="A510" s="190">
        <v>504</v>
      </c>
      <c r="B510" s="191">
        <v>27</v>
      </c>
      <c r="C510" s="848" t="s">
        <v>3846</v>
      </c>
      <c r="D510" s="774" t="s">
        <v>3847</v>
      </c>
      <c r="E510" s="190">
        <v>5</v>
      </c>
      <c r="F510" s="190">
        <f t="shared" si="31"/>
        <v>5</v>
      </c>
    </row>
    <row r="511" spans="1:6">
      <c r="A511" s="190">
        <v>505</v>
      </c>
      <c r="B511" s="191">
        <v>28</v>
      </c>
      <c r="C511" s="848" t="s">
        <v>3848</v>
      </c>
      <c r="D511" s="774" t="s">
        <v>3844</v>
      </c>
      <c r="E511" s="190">
        <v>1875</v>
      </c>
      <c r="F511" s="190">
        <f t="shared" si="31"/>
        <v>1875</v>
      </c>
    </row>
    <row r="512" spans="1:6">
      <c r="A512" s="190">
        <v>506</v>
      </c>
      <c r="B512" s="191">
        <v>29</v>
      </c>
      <c r="C512" s="848" t="s">
        <v>3950</v>
      </c>
      <c r="D512" s="774" t="s">
        <v>3857</v>
      </c>
      <c r="E512" s="190">
        <v>1614</v>
      </c>
      <c r="F512" s="190">
        <f t="shared" si="31"/>
        <v>1614</v>
      </c>
    </row>
    <row r="513" spans="1:6">
      <c r="A513" s="190">
        <v>507</v>
      </c>
      <c r="B513" s="191">
        <v>30</v>
      </c>
      <c r="C513" s="848" t="s">
        <v>3849</v>
      </c>
      <c r="D513" s="774" t="s">
        <v>3857</v>
      </c>
      <c r="E513" s="190">
        <v>860.8</v>
      </c>
      <c r="F513" s="190">
        <f t="shared" si="31"/>
        <v>860.8</v>
      </c>
    </row>
    <row r="514" spans="1:6">
      <c r="A514" s="190">
        <v>508</v>
      </c>
      <c r="B514" s="191">
        <v>33</v>
      </c>
      <c r="C514" s="848" t="s">
        <v>3850</v>
      </c>
      <c r="D514" s="774" t="s">
        <v>3857</v>
      </c>
      <c r="E514" s="190">
        <v>1183</v>
      </c>
      <c r="F514" s="190">
        <f t="shared" si="31"/>
        <v>1183</v>
      </c>
    </row>
    <row r="515" spans="1:6">
      <c r="A515" s="190">
        <v>509</v>
      </c>
      <c r="B515" s="191">
        <v>34</v>
      </c>
      <c r="C515" s="848" t="s">
        <v>3953</v>
      </c>
      <c r="D515" s="774" t="s">
        <v>3857</v>
      </c>
      <c r="E515" s="190">
        <v>645</v>
      </c>
      <c r="F515" s="190">
        <f t="shared" si="31"/>
        <v>645</v>
      </c>
    </row>
    <row r="516" spans="1:6">
      <c r="A516" s="190">
        <v>510</v>
      </c>
      <c r="B516" s="191">
        <v>35</v>
      </c>
      <c r="C516" s="848" t="s">
        <v>3851</v>
      </c>
      <c r="D516" s="774" t="s">
        <v>3847</v>
      </c>
      <c r="E516" s="190">
        <v>81.540000000000006</v>
      </c>
      <c r="F516" s="190">
        <f t="shared" si="31"/>
        <v>81.540000000000006</v>
      </c>
    </row>
    <row r="517" spans="1:6">
      <c r="A517" s="190">
        <v>511</v>
      </c>
      <c r="B517" s="191">
        <v>36</v>
      </c>
      <c r="C517" s="848" t="s">
        <v>3852</v>
      </c>
      <c r="D517" s="774" t="s">
        <v>3847</v>
      </c>
      <c r="E517" s="190">
        <v>8</v>
      </c>
      <c r="F517" s="190">
        <f t="shared" si="31"/>
        <v>8</v>
      </c>
    </row>
    <row r="518" spans="1:6">
      <c r="A518" s="190">
        <v>512</v>
      </c>
      <c r="B518" s="191">
        <v>37</v>
      </c>
      <c r="C518" s="848" t="s">
        <v>3853</v>
      </c>
      <c r="D518" s="774" t="s">
        <v>3847</v>
      </c>
      <c r="E518" s="190">
        <v>8</v>
      </c>
      <c r="F518" s="190">
        <f t="shared" si="31"/>
        <v>8</v>
      </c>
    </row>
    <row r="519" spans="1:6">
      <c r="A519" s="190">
        <v>513</v>
      </c>
      <c r="B519" s="191">
        <v>38</v>
      </c>
      <c r="C519" s="848" t="s">
        <v>3854</v>
      </c>
      <c r="D519" s="774" t="s">
        <v>3847</v>
      </c>
      <c r="E519" s="190">
        <v>6</v>
      </c>
      <c r="F519" s="190">
        <f t="shared" si="31"/>
        <v>6</v>
      </c>
    </row>
    <row r="520" spans="1:6">
      <c r="A520" s="190">
        <v>514</v>
      </c>
      <c r="B520" s="191">
        <v>39</v>
      </c>
      <c r="C520" s="848" t="s">
        <v>3855</v>
      </c>
      <c r="D520" s="774" t="s">
        <v>3847</v>
      </c>
      <c r="E520" s="190">
        <v>4</v>
      </c>
      <c r="F520" s="190">
        <f t="shared" si="31"/>
        <v>4</v>
      </c>
    </row>
    <row r="521" spans="1:6">
      <c r="A521" s="190">
        <v>515</v>
      </c>
      <c r="B521" s="191">
        <v>40</v>
      </c>
      <c r="C521" s="848" t="s">
        <v>3856</v>
      </c>
      <c r="D521" s="774" t="s">
        <v>3857</v>
      </c>
      <c r="E521" s="190">
        <v>1076</v>
      </c>
      <c r="F521" s="190">
        <f t="shared" si="31"/>
        <v>1076</v>
      </c>
    </row>
    <row r="522" spans="1:6">
      <c r="A522" s="190">
        <v>516</v>
      </c>
      <c r="B522" s="191">
        <v>41</v>
      </c>
      <c r="C522" s="848" t="s">
        <v>3954</v>
      </c>
      <c r="D522" s="774" t="s">
        <v>3857</v>
      </c>
      <c r="E522" s="190">
        <v>50</v>
      </c>
      <c r="F522" s="190">
        <v>538</v>
      </c>
    </row>
    <row r="523" spans="1:6">
      <c r="A523" s="190"/>
      <c r="B523" s="191"/>
      <c r="C523" s="848" t="s">
        <v>4305</v>
      </c>
      <c r="D523" s="774" t="s">
        <v>3857</v>
      </c>
      <c r="E523" s="190"/>
      <c r="F523" s="280">
        <v>322.8</v>
      </c>
    </row>
    <row r="524" spans="1:6">
      <c r="A524" s="190">
        <v>517</v>
      </c>
      <c r="B524" s="191">
        <v>42</v>
      </c>
      <c r="C524" s="848" t="s">
        <v>3955</v>
      </c>
      <c r="D524" s="774" t="s">
        <v>3847</v>
      </c>
      <c r="E524" s="190">
        <v>5</v>
      </c>
      <c r="F524" s="190">
        <f t="shared" si="31"/>
        <v>5</v>
      </c>
    </row>
    <row r="525" spans="1:6" ht="108">
      <c r="A525" s="190">
        <v>518</v>
      </c>
      <c r="B525" s="191">
        <v>43</v>
      </c>
      <c r="C525" s="831" t="s">
        <v>3963</v>
      </c>
      <c r="D525" s="774" t="s">
        <v>3965</v>
      </c>
      <c r="E525" s="190">
        <v>3542.4</v>
      </c>
      <c r="F525" s="190">
        <f t="shared" si="31"/>
        <v>3542.4</v>
      </c>
    </row>
    <row r="526" spans="1:6" ht="18">
      <c r="A526" s="190">
        <v>519</v>
      </c>
      <c r="B526" s="191">
        <v>44</v>
      </c>
      <c r="C526" s="831" t="s">
        <v>3974</v>
      </c>
      <c r="D526" s="821" t="s">
        <v>2530</v>
      </c>
      <c r="E526" s="280">
        <v>52965</v>
      </c>
      <c r="F526" s="280">
        <f t="shared" si="31"/>
        <v>52965</v>
      </c>
    </row>
    <row r="527" spans="1:6" ht="18">
      <c r="A527" s="190">
        <v>520</v>
      </c>
      <c r="B527" s="191">
        <v>45</v>
      </c>
      <c r="C527" s="831" t="s">
        <v>3975</v>
      </c>
      <c r="D527" s="821" t="s">
        <v>2530</v>
      </c>
      <c r="E527" s="280">
        <v>121819.5</v>
      </c>
      <c r="F527" s="280">
        <f t="shared" si="31"/>
        <v>121819.5</v>
      </c>
    </row>
    <row r="528" spans="1:6" ht="18">
      <c r="A528" s="190">
        <v>521</v>
      </c>
      <c r="B528" s="191">
        <v>46</v>
      </c>
      <c r="C528" s="848" t="s">
        <v>3986</v>
      </c>
      <c r="D528" s="821" t="s">
        <v>803</v>
      </c>
      <c r="E528" s="190">
        <v>5.78</v>
      </c>
      <c r="F528" s="190">
        <f t="shared" si="31"/>
        <v>5.78</v>
      </c>
    </row>
    <row r="529" spans="1:6" ht="18">
      <c r="A529" s="190">
        <v>522</v>
      </c>
      <c r="B529" s="191">
        <v>47</v>
      </c>
      <c r="C529" s="848" t="s">
        <v>3987</v>
      </c>
      <c r="D529" s="821" t="s">
        <v>803</v>
      </c>
      <c r="E529" s="190">
        <v>6.05</v>
      </c>
      <c r="F529" s="190">
        <f t="shared" si="31"/>
        <v>6.05</v>
      </c>
    </row>
    <row r="530" spans="1:6" ht="18">
      <c r="A530" s="190">
        <v>523</v>
      </c>
      <c r="B530" s="191">
        <v>48</v>
      </c>
      <c r="C530" s="895" t="s">
        <v>2272</v>
      </c>
      <c r="D530" s="666" t="s">
        <v>3996</v>
      </c>
      <c r="E530" s="190">
        <v>40</v>
      </c>
      <c r="F530" s="190">
        <f t="shared" si="31"/>
        <v>40</v>
      </c>
    </row>
    <row r="531" spans="1:6" ht="21">
      <c r="A531" s="190">
        <v>524</v>
      </c>
      <c r="B531" s="191">
        <v>49</v>
      </c>
      <c r="C531" s="848" t="s">
        <v>4049</v>
      </c>
      <c r="D531" s="666" t="s">
        <v>4048</v>
      </c>
      <c r="E531" s="190">
        <v>702</v>
      </c>
      <c r="F531" s="190">
        <f t="shared" si="31"/>
        <v>702</v>
      </c>
    </row>
    <row r="532" spans="1:6" ht="21">
      <c r="A532" s="190">
        <v>525</v>
      </c>
      <c r="B532" s="191">
        <v>50</v>
      </c>
      <c r="C532" s="848" t="s">
        <v>4047</v>
      </c>
      <c r="D532" s="666" t="s">
        <v>4048</v>
      </c>
      <c r="E532" s="190">
        <v>525</v>
      </c>
      <c r="F532" s="190">
        <f t="shared" si="31"/>
        <v>525</v>
      </c>
    </row>
    <row r="533" spans="1:6" ht="30">
      <c r="A533" s="190">
        <v>526</v>
      </c>
      <c r="B533" s="934">
        <v>51</v>
      </c>
      <c r="C533" s="1026" t="s">
        <v>4325</v>
      </c>
      <c r="D533" s="190" t="s">
        <v>2110</v>
      </c>
      <c r="E533" s="665">
        <v>11700</v>
      </c>
      <c r="F533" s="665">
        <f t="shared" si="31"/>
        <v>11700</v>
      </c>
    </row>
  </sheetData>
  <sheetProtection formatCells="0" formatColumns="0" formatRows="0"/>
  <mergeCells count="1">
    <mergeCell ref="A1:F1"/>
  </mergeCells>
  <phoneticPr fontId="0" type="noConversion"/>
  <printOptions horizontalCentered="1"/>
  <pageMargins left="0.4" right="0.15" top="0.44" bottom="0.46" header="0.25" footer="0.28000000000000003"/>
  <pageSetup paperSize="9" scale="85" fitToWidth="12" fitToHeight="12" orientation="portrait" horizontalDpi="4294967295" verticalDpi="18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K4834"/>
  <sheetViews>
    <sheetView showGridLines="0" view="pageBreakPreview" topLeftCell="A743" zoomScale="90" zoomScaleSheetLayoutView="90" workbookViewId="0">
      <selection activeCell="F748" sqref="F748"/>
    </sheetView>
  </sheetViews>
  <sheetFormatPr defaultRowHeight="15" outlineLevelRow="1"/>
  <cols>
    <col min="1" max="1" width="8.5703125" style="1" customWidth="1"/>
    <col min="2" max="2" width="12.28515625" style="1" customWidth="1"/>
    <col min="3" max="3" width="27" style="1" customWidth="1"/>
    <col min="4" max="4" width="12.42578125" style="1" customWidth="1"/>
    <col min="5" max="5" width="16.140625" style="1" customWidth="1"/>
    <col min="6" max="6" width="13.140625" style="1" customWidth="1"/>
    <col min="7" max="7" width="11.5703125" style="1" customWidth="1"/>
    <col min="8" max="8" width="12.42578125" style="1" customWidth="1"/>
    <col min="9" max="9" width="0" style="1" hidden="1" customWidth="1"/>
    <col min="10" max="10" width="9.140625" style="1"/>
    <col min="11" max="11" width="10.85546875" style="1" bestFit="1" customWidth="1"/>
    <col min="12" max="16384" width="9.140625" style="1"/>
  </cols>
  <sheetData>
    <row r="1" spans="1:8" ht="18">
      <c r="B1" s="1165"/>
      <c r="C1" s="1134"/>
      <c r="D1" s="1134"/>
      <c r="E1" s="1134"/>
      <c r="F1" s="1134"/>
      <c r="G1" s="1134"/>
      <c r="H1" s="1134"/>
    </row>
    <row r="2" spans="1:8" ht="18">
      <c r="B2" s="1165" t="s">
        <v>2504</v>
      </c>
      <c r="C2" s="1134"/>
      <c r="D2" s="1134"/>
      <c r="E2" s="1134"/>
      <c r="F2" s="1134"/>
      <c r="G2" s="1134"/>
      <c r="H2" s="1134"/>
    </row>
    <row r="3" spans="1:8" ht="18">
      <c r="A3" s="282">
        <v>1</v>
      </c>
      <c r="B3" s="1101" t="s">
        <v>3727</v>
      </c>
      <c r="C3" s="1134"/>
      <c r="D3" s="1134"/>
      <c r="E3" s="1134"/>
      <c r="F3" s="1134"/>
      <c r="G3" s="1134"/>
      <c r="H3" s="1134"/>
    </row>
    <row r="4" spans="1:8" ht="15.75">
      <c r="A4" s="791" t="s">
        <v>4302</v>
      </c>
      <c r="C4" s="69"/>
      <c r="D4" s="69"/>
      <c r="E4" s="69"/>
      <c r="F4" s="69"/>
      <c r="G4" s="69"/>
      <c r="H4" s="69"/>
    </row>
    <row r="5" spans="1:8">
      <c r="B5" s="1083" t="s">
        <v>2374</v>
      </c>
      <c r="C5" s="1083"/>
      <c r="D5" s="1083"/>
      <c r="E5" s="1083"/>
      <c r="F5" s="1083"/>
      <c r="G5" s="1083"/>
      <c r="H5" s="1083"/>
    </row>
    <row r="6" spans="1:8" ht="31.5">
      <c r="B6" s="70" t="s">
        <v>3340</v>
      </c>
      <c r="C6" s="70" t="s">
        <v>3341</v>
      </c>
      <c r="D6" s="70" t="s">
        <v>3342</v>
      </c>
      <c r="E6" s="70" t="s">
        <v>3343</v>
      </c>
      <c r="F6" s="70" t="s">
        <v>3344</v>
      </c>
      <c r="G6" s="70" t="s">
        <v>3345</v>
      </c>
      <c r="H6" s="70" t="s">
        <v>1704</v>
      </c>
    </row>
    <row r="7" spans="1:8" ht="23.25" customHeight="1">
      <c r="B7" s="66" t="s">
        <v>1705</v>
      </c>
      <c r="C7" s="66" t="s">
        <v>1706</v>
      </c>
      <c r="D7" s="269">
        <v>0.13</v>
      </c>
      <c r="E7" s="66" t="s">
        <v>1707</v>
      </c>
      <c r="F7" s="103">
        <f>'update Rate'!F4</f>
        <v>375</v>
      </c>
      <c r="G7" s="103">
        <f>FLOOR(D7*F7,0.01)</f>
        <v>48.75</v>
      </c>
      <c r="H7" s="103">
        <f>(G7)</f>
        <v>48.75</v>
      </c>
    </row>
    <row r="8" spans="1:8" ht="20.100000000000001" customHeight="1">
      <c r="F8" s="42" t="s">
        <v>1708</v>
      </c>
      <c r="G8" s="42"/>
      <c r="H8" s="104">
        <f>SUM(G7)</f>
        <v>48.75</v>
      </c>
    </row>
    <row r="9" spans="1:8" ht="20.100000000000001" customHeight="1">
      <c r="F9" s="42" t="s">
        <v>1709</v>
      </c>
      <c r="G9" s="42"/>
      <c r="H9" s="103">
        <f>FLOOR(H8*0.15,0.01)</f>
        <v>7.3100000000000005</v>
      </c>
    </row>
    <row r="10" spans="1:8" ht="20.100000000000001" customHeight="1">
      <c r="B10" s="1" t="s">
        <v>1088</v>
      </c>
      <c r="F10" s="42" t="s">
        <v>1711</v>
      </c>
      <c r="G10" s="42"/>
      <c r="H10" s="103">
        <f>SUM(H8:H9)</f>
        <v>56.06</v>
      </c>
    </row>
    <row r="11" spans="1:8" ht="20.100000000000001" customHeight="1">
      <c r="A11" s="28" t="s">
        <v>3384</v>
      </c>
      <c r="B11" s="103">
        <f>+H10</f>
        <v>56.06</v>
      </c>
      <c r="C11" s="1" t="s">
        <v>3385</v>
      </c>
    </row>
    <row r="12" spans="1:8" ht="20.100000000000001" customHeight="1">
      <c r="A12" s="28"/>
      <c r="B12" s="151"/>
    </row>
    <row r="13" spans="1:8" ht="20.100000000000001" customHeight="1">
      <c r="A13" s="28"/>
      <c r="B13" s="151"/>
    </row>
    <row r="14" spans="1:8" ht="20.100000000000001" customHeight="1">
      <c r="A14" s="28"/>
      <c r="B14" s="151"/>
    </row>
    <row r="15" spans="1:8" ht="20.100000000000001" customHeight="1">
      <c r="A15" s="28"/>
      <c r="B15" s="151"/>
    </row>
    <row r="17" spans="1:8" ht="18">
      <c r="B17" s="1165" t="s">
        <v>3728</v>
      </c>
      <c r="C17" s="1134"/>
      <c r="D17" s="1134"/>
      <c r="E17" s="1134"/>
      <c r="F17" s="1134"/>
      <c r="G17" s="1134"/>
      <c r="H17" s="1134"/>
    </row>
    <row r="18" spans="1:8" ht="18">
      <c r="A18" s="282">
        <v>2</v>
      </c>
      <c r="B18" s="1101" t="s">
        <v>3727</v>
      </c>
      <c r="C18" s="1134"/>
      <c r="D18" s="1134"/>
      <c r="E18" s="1134"/>
      <c r="F18" s="1134"/>
      <c r="G18" s="1134"/>
      <c r="H18" s="1134"/>
    </row>
    <row r="19" spans="1:8" ht="15.75">
      <c r="A19" s="791" t="s">
        <v>4302</v>
      </c>
      <c r="C19" s="69"/>
      <c r="D19" s="69"/>
      <c r="E19" s="69"/>
      <c r="F19" s="69"/>
      <c r="G19" s="69"/>
      <c r="H19" s="69"/>
    </row>
    <row r="20" spans="1:8">
      <c r="B20" s="1083" t="s">
        <v>2374</v>
      </c>
      <c r="C20" s="1083"/>
      <c r="D20" s="1083"/>
      <c r="E20" s="1083"/>
      <c r="F20" s="1083"/>
      <c r="G20" s="1083"/>
      <c r="H20" s="1083"/>
    </row>
    <row r="21" spans="1:8" ht="31.5">
      <c r="B21" s="70" t="s">
        <v>3340</v>
      </c>
      <c r="C21" s="70" t="s">
        <v>3341</v>
      </c>
      <c r="D21" s="70" t="s">
        <v>3342</v>
      </c>
      <c r="E21" s="70" t="s">
        <v>3343</v>
      </c>
      <c r="F21" s="70" t="s">
        <v>3344</v>
      </c>
      <c r="G21" s="70" t="s">
        <v>3345</v>
      </c>
      <c r="H21" s="70" t="s">
        <v>1704</v>
      </c>
    </row>
    <row r="22" spans="1:8" ht="23.25" customHeight="1">
      <c r="B22" s="66" t="s">
        <v>1705</v>
      </c>
      <c r="C22" s="66" t="s">
        <v>1706</v>
      </c>
      <c r="D22" s="269">
        <v>0.98</v>
      </c>
      <c r="E22" s="66" t="s">
        <v>1707</v>
      </c>
      <c r="F22" s="103">
        <f>'update Rate'!F4</f>
        <v>375</v>
      </c>
      <c r="G22" s="103">
        <f>FLOOR(D22*F22,0.01)</f>
        <v>367.5</v>
      </c>
      <c r="H22" s="103">
        <f>(G22)</f>
        <v>367.5</v>
      </c>
    </row>
    <row r="23" spans="1:8" ht="20.100000000000001" customHeight="1">
      <c r="F23" s="42" t="s">
        <v>1708</v>
      </c>
      <c r="G23" s="42"/>
      <c r="H23" s="104">
        <f>SUM(G22)</f>
        <v>367.5</v>
      </c>
    </row>
    <row r="24" spans="1:8" ht="20.100000000000001" customHeight="1">
      <c r="F24" s="42" t="s">
        <v>1709</v>
      </c>
      <c r="G24" s="42"/>
      <c r="H24" s="103">
        <f>FLOOR(H23*0.15,0.01)</f>
        <v>55.120000000000005</v>
      </c>
    </row>
    <row r="25" spans="1:8" ht="20.100000000000001" customHeight="1">
      <c r="B25" s="1" t="s">
        <v>1088</v>
      </c>
      <c r="F25" s="42" t="s">
        <v>1711</v>
      </c>
      <c r="G25" s="42"/>
      <c r="H25" s="103">
        <f>SUM(H23:H24)</f>
        <v>422.62</v>
      </c>
    </row>
    <row r="26" spans="1:8" ht="20.100000000000001" customHeight="1">
      <c r="A26" s="28" t="s">
        <v>3384</v>
      </c>
      <c r="B26" s="103">
        <f>+H25</f>
        <v>422.62</v>
      </c>
      <c r="C26" s="1" t="s">
        <v>3385</v>
      </c>
    </row>
    <row r="27" spans="1:8" ht="20.100000000000001" customHeight="1">
      <c r="A27" s="28"/>
      <c r="B27" s="151"/>
    </row>
    <row r="28" spans="1:8" ht="20.100000000000001" customHeight="1">
      <c r="A28" s="28"/>
      <c r="B28" s="151"/>
    </row>
    <row r="29" spans="1:8" ht="20.100000000000001" customHeight="1">
      <c r="A29" s="28"/>
      <c r="B29" s="151"/>
    </row>
    <row r="30" spans="1:8" ht="20.100000000000001" customHeight="1">
      <c r="A30" s="28"/>
      <c r="B30" s="151"/>
    </row>
    <row r="31" spans="1:8" ht="20.100000000000001" customHeight="1">
      <c r="A31" s="28"/>
      <c r="B31" s="151"/>
    </row>
    <row r="32" spans="1:8" ht="20.100000000000001" customHeight="1"/>
    <row r="33" spans="1:8" ht="20.100000000000001" customHeight="1">
      <c r="B33" s="1134" t="s">
        <v>2505</v>
      </c>
      <c r="C33" s="1134"/>
      <c r="D33" s="1134"/>
      <c r="E33" s="1134"/>
      <c r="F33" s="1134"/>
      <c r="G33" s="1134"/>
      <c r="H33" s="1134"/>
    </row>
    <row r="34" spans="1:8" ht="18">
      <c r="A34" s="282">
        <v>3</v>
      </c>
      <c r="B34" s="1134" t="s">
        <v>2376</v>
      </c>
      <c r="C34" s="1134"/>
      <c r="D34" s="1134"/>
      <c r="E34" s="1134"/>
      <c r="F34" s="1134"/>
      <c r="G34" s="1134"/>
      <c r="H34" s="1134"/>
    </row>
    <row r="35" spans="1:8">
      <c r="A35" s="791" t="s">
        <v>4303</v>
      </c>
    </row>
    <row r="36" spans="1:8">
      <c r="B36" s="1092" t="s">
        <v>2374</v>
      </c>
      <c r="C36" s="1092"/>
      <c r="D36" s="1092"/>
      <c r="E36" s="1092"/>
      <c r="F36" s="1092"/>
      <c r="G36" s="1092"/>
      <c r="H36" s="1092"/>
    </row>
    <row r="37" spans="1:8" ht="35.25" customHeight="1">
      <c r="B37" s="70" t="s">
        <v>3340</v>
      </c>
      <c r="C37" s="70" t="s">
        <v>3341</v>
      </c>
      <c r="D37" s="70" t="s">
        <v>3342</v>
      </c>
      <c r="E37" s="70" t="s">
        <v>3343</v>
      </c>
      <c r="F37" s="70" t="s">
        <v>3344</v>
      </c>
      <c r="G37" s="70" t="s">
        <v>3345</v>
      </c>
      <c r="H37" s="70" t="s">
        <v>1704</v>
      </c>
    </row>
    <row r="38" spans="1:8" ht="24" customHeight="1">
      <c r="B38" s="66" t="s">
        <v>1705</v>
      </c>
      <c r="C38" s="66" t="s">
        <v>1706</v>
      </c>
      <c r="D38" s="270">
        <v>0.4</v>
      </c>
      <c r="E38" s="66" t="s">
        <v>1707</v>
      </c>
      <c r="F38" s="103">
        <f>'update Rate'!F4</f>
        <v>375</v>
      </c>
      <c r="G38" s="103">
        <f>FLOOR(D38*F38,0.01)</f>
        <v>150</v>
      </c>
      <c r="H38" s="103">
        <f>(G38)</f>
        <v>150</v>
      </c>
    </row>
    <row r="39" spans="1:8" ht="18.75" customHeight="1">
      <c r="F39" s="42" t="s">
        <v>1708</v>
      </c>
      <c r="G39" s="42"/>
      <c r="H39" s="104">
        <f>SUM(G38)</f>
        <v>150</v>
      </c>
    </row>
    <row r="40" spans="1:8" ht="23.25" customHeight="1">
      <c r="F40" s="42" t="s">
        <v>1709</v>
      </c>
      <c r="G40" s="42"/>
      <c r="H40" s="103">
        <f>FLOOR(H39*0.15,0.01)</f>
        <v>22.5</v>
      </c>
    </row>
    <row r="41" spans="1:8" ht="25.5" customHeight="1">
      <c r="B41" s="1" t="s">
        <v>1088</v>
      </c>
      <c r="F41" s="42" t="s">
        <v>1711</v>
      </c>
      <c r="G41" s="42"/>
      <c r="H41" s="103">
        <f>SUM(H39:H40)</f>
        <v>172.5</v>
      </c>
    </row>
    <row r="42" spans="1:8">
      <c r="A42" s="28" t="s">
        <v>3384</v>
      </c>
      <c r="B42" s="103">
        <f>+H41</f>
        <v>172.5</v>
      </c>
      <c r="C42" s="1" t="s">
        <v>3385</v>
      </c>
    </row>
    <row r="43" spans="1:8">
      <c r="A43" s="28"/>
      <c r="B43" s="151"/>
    </row>
    <row r="44" spans="1:8" ht="20.100000000000001" customHeight="1">
      <c r="B44" s="1134" t="s">
        <v>3729</v>
      </c>
      <c r="C44" s="1134"/>
      <c r="D44" s="1134"/>
      <c r="E44" s="1134"/>
      <c r="F44" s="1134"/>
      <c r="G44" s="1134"/>
      <c r="H44" s="1134"/>
    </row>
    <row r="45" spans="1:8" ht="18">
      <c r="A45" s="282">
        <v>4</v>
      </c>
      <c r="B45" s="1134" t="s">
        <v>2376</v>
      </c>
      <c r="C45" s="1134"/>
      <c r="D45" s="1134"/>
      <c r="E45" s="1134"/>
      <c r="F45" s="1134"/>
      <c r="G45" s="1134"/>
      <c r="H45" s="1134"/>
    </row>
    <row r="46" spans="1:8">
      <c r="A46" s="791" t="s">
        <v>4303</v>
      </c>
    </row>
    <row r="47" spans="1:8">
      <c r="B47" s="1092" t="s">
        <v>2374</v>
      </c>
      <c r="C47" s="1092"/>
      <c r="D47" s="1092"/>
      <c r="E47" s="1092"/>
      <c r="F47" s="1092"/>
      <c r="G47" s="1092"/>
      <c r="H47" s="1092"/>
    </row>
    <row r="48" spans="1:8" ht="35.25" customHeight="1">
      <c r="B48" s="70" t="s">
        <v>3340</v>
      </c>
      <c r="C48" s="70" t="s">
        <v>3341</v>
      </c>
      <c r="D48" s="70" t="s">
        <v>3342</v>
      </c>
      <c r="E48" s="70" t="s">
        <v>3343</v>
      </c>
      <c r="F48" s="70" t="s">
        <v>3344</v>
      </c>
      <c r="G48" s="70" t="s">
        <v>3345</v>
      </c>
      <c r="H48" s="70" t="s">
        <v>1704</v>
      </c>
    </row>
    <row r="49" spans="1:8" ht="24" customHeight="1">
      <c r="B49" s="66" t="s">
        <v>1705</v>
      </c>
      <c r="C49" s="66" t="s">
        <v>1706</v>
      </c>
      <c r="D49" s="270">
        <v>2.52</v>
      </c>
      <c r="E49" s="66" t="s">
        <v>1707</v>
      </c>
      <c r="F49" s="103">
        <f>'update Rate'!F4</f>
        <v>375</v>
      </c>
      <c r="G49" s="103">
        <f>FLOOR(D49*F49,0.01)</f>
        <v>945</v>
      </c>
      <c r="H49" s="103">
        <f>(G49)</f>
        <v>945</v>
      </c>
    </row>
    <row r="50" spans="1:8" ht="18.75" customHeight="1">
      <c r="F50" s="42" t="s">
        <v>1708</v>
      </c>
      <c r="G50" s="42"/>
      <c r="H50" s="104">
        <f>SUM(G49)</f>
        <v>945</v>
      </c>
    </row>
    <row r="51" spans="1:8" ht="23.25" customHeight="1">
      <c r="F51" s="42" t="s">
        <v>1709</v>
      </c>
      <c r="G51" s="42"/>
      <c r="H51" s="103">
        <f>FLOOR(H50*0.15,0.01)</f>
        <v>141.75</v>
      </c>
    </row>
    <row r="52" spans="1:8" ht="25.5" customHeight="1">
      <c r="B52" s="1" t="s">
        <v>1088</v>
      </c>
      <c r="F52" s="42" t="s">
        <v>1711</v>
      </c>
      <c r="G52" s="42"/>
      <c r="H52" s="103">
        <f>SUM(H50:H51)</f>
        <v>1086.75</v>
      </c>
    </row>
    <row r="53" spans="1:8">
      <c r="A53" s="28" t="s">
        <v>3384</v>
      </c>
      <c r="B53" s="103">
        <f>+H52</f>
        <v>1086.75</v>
      </c>
      <c r="C53" s="1" t="s">
        <v>3385</v>
      </c>
    </row>
    <row r="54" spans="1:8" ht="20.100000000000001" customHeight="1"/>
    <row r="55" spans="1:8" ht="20.100000000000001" customHeight="1"/>
    <row r="56" spans="1:8" ht="20.100000000000001" customHeight="1"/>
    <row r="57" spans="1:8" ht="20.100000000000001" customHeight="1"/>
    <row r="58" spans="1:8" ht="20.100000000000001" customHeight="1"/>
    <row r="59" spans="1:8" ht="18">
      <c r="A59" s="282">
        <v>5</v>
      </c>
      <c r="B59" s="1134" t="s">
        <v>3730</v>
      </c>
      <c r="C59" s="1134"/>
      <c r="D59" s="1134"/>
      <c r="E59" s="1134"/>
      <c r="F59" s="1134"/>
      <c r="G59" s="1134"/>
      <c r="H59" s="1134"/>
    </row>
    <row r="60" spans="1:8" ht="18">
      <c r="A60" s="688" t="s">
        <v>3743</v>
      </c>
      <c r="B60" s="1134"/>
      <c r="C60" s="1134"/>
      <c r="D60" s="1134"/>
      <c r="E60" s="1134"/>
      <c r="F60" s="1134"/>
      <c r="G60" s="1134"/>
      <c r="H60" s="1134"/>
    </row>
    <row r="61" spans="1:8">
      <c r="B61" s="1092" t="s">
        <v>2620</v>
      </c>
      <c r="C61" s="1092"/>
      <c r="D61" s="1092"/>
      <c r="E61" s="1092"/>
      <c r="F61" s="1092"/>
      <c r="G61" s="1092"/>
      <c r="H61" s="1092"/>
    </row>
    <row r="62" spans="1:8" ht="31.5">
      <c r="B62" s="70" t="s">
        <v>3340</v>
      </c>
      <c r="C62" s="70" t="s">
        <v>3341</v>
      </c>
      <c r="D62" s="70" t="s">
        <v>3342</v>
      </c>
      <c r="E62" s="70" t="s">
        <v>3343</v>
      </c>
      <c r="F62" s="70" t="s">
        <v>3344</v>
      </c>
      <c r="G62" s="70" t="s">
        <v>3345</v>
      </c>
      <c r="H62" s="70" t="s">
        <v>1704</v>
      </c>
    </row>
    <row r="63" spans="1:8" ht="26.25" customHeight="1">
      <c r="B63" s="66" t="s">
        <v>1705</v>
      </c>
      <c r="C63" s="66" t="s">
        <v>1706</v>
      </c>
      <c r="D63" s="269">
        <v>2.3E-2</v>
      </c>
      <c r="E63" s="66" t="s">
        <v>1707</v>
      </c>
      <c r="F63" s="187">
        <f>'update Rate'!F4</f>
        <v>375</v>
      </c>
      <c r="G63" s="103">
        <f>FLOOR(D63*F63,0.01)</f>
        <v>8.620000000000001</v>
      </c>
      <c r="H63" s="103">
        <f>(G63)</f>
        <v>8.620000000000001</v>
      </c>
    </row>
    <row r="64" spans="1:8" ht="23.25" customHeight="1">
      <c r="F64" s="42" t="s">
        <v>1708</v>
      </c>
      <c r="G64" s="42"/>
      <c r="H64" s="7">
        <f>SUM(G63)</f>
        <v>8.620000000000001</v>
      </c>
    </row>
    <row r="65" spans="1:8" ht="23.25" customHeight="1">
      <c r="F65" s="42" t="s">
        <v>1709</v>
      </c>
      <c r="G65" s="42"/>
      <c r="H65" s="7">
        <f>FLOOR((H64*0.15*100)/100,0.01)</f>
        <v>1.29</v>
      </c>
    </row>
    <row r="66" spans="1:8" ht="21" customHeight="1">
      <c r="B66" s="1" t="s">
        <v>1710</v>
      </c>
      <c r="F66" s="42" t="s">
        <v>1711</v>
      </c>
      <c r="G66" s="42"/>
      <c r="H66" s="103">
        <f>SUM(H64:H65)</f>
        <v>9.91</v>
      </c>
    </row>
    <row r="67" spans="1:8" ht="20.100000000000001" customHeight="1">
      <c r="A67" s="28" t="s">
        <v>3384</v>
      </c>
      <c r="B67" s="103">
        <f>+H66</f>
        <v>9.91</v>
      </c>
      <c r="C67" s="1" t="s">
        <v>3385</v>
      </c>
    </row>
    <row r="68" spans="1:8" ht="20.100000000000001" customHeight="1">
      <c r="A68" s="28"/>
      <c r="B68" s="151"/>
    </row>
    <row r="69" spans="1:8" ht="20.100000000000001" customHeight="1">
      <c r="A69" s="28"/>
      <c r="B69" s="151"/>
    </row>
    <row r="70" spans="1:8" ht="20.100000000000001" customHeight="1">
      <c r="A70" s="28"/>
      <c r="B70" s="151"/>
    </row>
    <row r="71" spans="1:8" ht="20.100000000000001" customHeight="1">
      <c r="A71" s="28"/>
      <c r="B71" s="151"/>
    </row>
    <row r="72" spans="1:8" ht="20.25" customHeight="1"/>
    <row r="73" spans="1:8" ht="20.100000000000001" customHeight="1"/>
    <row r="74" spans="1:8" ht="18">
      <c r="A74" s="282">
        <v>6</v>
      </c>
      <c r="B74" s="1134" t="s">
        <v>3545</v>
      </c>
      <c r="C74" s="1134"/>
      <c r="D74" s="1134"/>
      <c r="E74" s="1134"/>
      <c r="F74" s="1134"/>
      <c r="G74" s="1134"/>
      <c r="H74" s="1134"/>
    </row>
    <row r="75" spans="1:8" ht="18">
      <c r="A75" s="688" t="s">
        <v>3744</v>
      </c>
      <c r="B75" s="1134" t="s">
        <v>3546</v>
      </c>
      <c r="C75" s="1134"/>
      <c r="D75" s="1134"/>
      <c r="E75" s="1134"/>
      <c r="F75" s="1134"/>
      <c r="G75" s="1134"/>
      <c r="H75" s="1134"/>
    </row>
    <row r="76" spans="1:8">
      <c r="B76" s="1092" t="s">
        <v>2620</v>
      </c>
      <c r="C76" s="1092"/>
      <c r="D76" s="1092"/>
      <c r="E76" s="1092"/>
      <c r="F76" s="1092"/>
      <c r="G76" s="1092"/>
      <c r="H76" s="1092"/>
    </row>
    <row r="77" spans="1:8" ht="31.5">
      <c r="B77" s="70" t="s">
        <v>3340</v>
      </c>
      <c r="C77" s="70" t="s">
        <v>3341</v>
      </c>
      <c r="D77" s="70" t="s">
        <v>3342</v>
      </c>
      <c r="E77" s="70" t="s">
        <v>3343</v>
      </c>
      <c r="F77" s="70" t="s">
        <v>3344</v>
      </c>
      <c r="G77" s="70" t="s">
        <v>3345</v>
      </c>
      <c r="H77" s="70" t="s">
        <v>1704</v>
      </c>
    </row>
    <row r="78" spans="1:8" ht="26.25" customHeight="1">
      <c r="B78" s="66" t="s">
        <v>1705</v>
      </c>
      <c r="C78" s="66" t="s">
        <v>1706</v>
      </c>
      <c r="D78" s="269">
        <v>0.01</v>
      </c>
      <c r="E78" s="66" t="s">
        <v>1707</v>
      </c>
      <c r="F78" s="679">
        <f>'update Rate'!F4</f>
        <v>375</v>
      </c>
      <c r="G78" s="103">
        <f>FLOOR(D78*F78,0.01)</f>
        <v>3.75</v>
      </c>
      <c r="H78" s="103">
        <f>(G78)</f>
        <v>3.75</v>
      </c>
    </row>
    <row r="79" spans="1:8" ht="23.25" customHeight="1">
      <c r="F79" s="42" t="s">
        <v>1708</v>
      </c>
      <c r="G79" s="42"/>
      <c r="H79" s="7">
        <f>SUM(G78)</f>
        <v>3.75</v>
      </c>
    </row>
    <row r="80" spans="1:8" ht="23.25" customHeight="1">
      <c r="F80" s="42" t="s">
        <v>1709</v>
      </c>
      <c r="G80" s="42"/>
      <c r="H80" s="7">
        <f>FLOOR((H79*0.15*100)/100,0.01)</f>
        <v>0.56000000000000005</v>
      </c>
    </row>
    <row r="81" spans="1:8" ht="21" customHeight="1">
      <c r="B81" s="1" t="s">
        <v>1710</v>
      </c>
      <c r="F81" s="42" t="s">
        <v>1711</v>
      </c>
      <c r="G81" s="42"/>
      <c r="H81" s="103">
        <f>SUM(H79:H80)</f>
        <v>4.3100000000000005</v>
      </c>
    </row>
    <row r="82" spans="1:8" ht="20.100000000000001" customHeight="1">
      <c r="A82" s="28" t="s">
        <v>3384</v>
      </c>
      <c r="B82" s="103">
        <f>+H81</f>
        <v>4.3100000000000005</v>
      </c>
      <c r="C82" s="1" t="s">
        <v>3385</v>
      </c>
    </row>
    <row r="83" spans="1:8" ht="20.100000000000001" customHeight="1"/>
    <row r="84" spans="1:8" ht="18">
      <c r="A84" s="282">
        <v>7</v>
      </c>
      <c r="B84" s="1134" t="s">
        <v>3731</v>
      </c>
      <c r="C84" s="1134"/>
      <c r="D84" s="1134"/>
      <c r="E84" s="1134"/>
      <c r="F84" s="1134"/>
      <c r="G84" s="1134"/>
      <c r="H84" s="1134"/>
    </row>
    <row r="85" spans="1:8" ht="18">
      <c r="A85" s="688" t="s">
        <v>3745</v>
      </c>
      <c r="B85" s="1134" t="s">
        <v>3732</v>
      </c>
      <c r="C85" s="1134"/>
      <c r="D85" s="1134"/>
      <c r="E85" s="1134"/>
      <c r="F85" s="1134"/>
      <c r="G85" s="1134"/>
      <c r="H85" s="1134"/>
    </row>
    <row r="86" spans="1:8">
      <c r="B86" s="1092" t="s">
        <v>3166</v>
      </c>
      <c r="C86" s="1092"/>
      <c r="D86" s="1092"/>
      <c r="E86" s="1092"/>
      <c r="F86" s="1092"/>
      <c r="G86" s="1092"/>
      <c r="H86" s="1092"/>
    </row>
    <row r="87" spans="1:8" ht="31.5">
      <c r="B87" s="70" t="s">
        <v>3340</v>
      </c>
      <c r="C87" s="70" t="s">
        <v>3341</v>
      </c>
      <c r="D87" s="70" t="s">
        <v>3342</v>
      </c>
      <c r="E87" s="70" t="s">
        <v>3343</v>
      </c>
      <c r="F87" s="70" t="s">
        <v>3344</v>
      </c>
      <c r="G87" s="70" t="s">
        <v>3345</v>
      </c>
      <c r="H87" s="70" t="s">
        <v>1704</v>
      </c>
    </row>
    <row r="88" spans="1:8" ht="26.25" customHeight="1">
      <c r="B88" s="66" t="s">
        <v>1705</v>
      </c>
      <c r="C88" s="66" t="s">
        <v>1706</v>
      </c>
      <c r="D88" s="269">
        <v>5.04</v>
      </c>
      <c r="E88" s="66" t="s">
        <v>1707</v>
      </c>
      <c r="F88" s="679">
        <f>'update Rate'!F4</f>
        <v>375</v>
      </c>
      <c r="G88" s="103">
        <f>FLOOR(D88*F88,0.01)</f>
        <v>1890</v>
      </c>
      <c r="H88" s="103">
        <f>(G88)</f>
        <v>1890</v>
      </c>
    </row>
    <row r="89" spans="1:8" ht="20.100000000000001" customHeight="1">
      <c r="B89" s="1069" t="s">
        <v>2330</v>
      </c>
      <c r="C89" s="57" t="s">
        <v>4304</v>
      </c>
      <c r="D89" s="47">
        <v>100</v>
      </c>
      <c r="E89" s="57" t="s">
        <v>3170</v>
      </c>
      <c r="F89" s="819">
        <f>'update Rate'!F523</f>
        <v>322.8</v>
      </c>
      <c r="G89" s="114">
        <f>FLOOR(F89*D89,0.01)</f>
        <v>32280</v>
      </c>
      <c r="H89" s="114"/>
    </row>
    <row r="90" spans="1:8" ht="20.100000000000001" customHeight="1">
      <c r="B90" s="1070"/>
      <c r="C90" s="140" t="s">
        <v>3733</v>
      </c>
      <c r="D90" s="45">
        <v>7</v>
      </c>
      <c r="E90" s="58" t="s">
        <v>3096</v>
      </c>
      <c r="F90" s="820">
        <f>'update Rate'!F509</f>
        <v>28</v>
      </c>
      <c r="G90" s="65">
        <f>FLOOR(D90*F90,0.01)</f>
        <v>196</v>
      </c>
      <c r="H90" s="65">
        <f>+G90+G89</f>
        <v>32476</v>
      </c>
    </row>
    <row r="91" spans="1:8" ht="20.100000000000001" customHeight="1">
      <c r="F91" s="42" t="s">
        <v>1708</v>
      </c>
      <c r="G91" s="680"/>
      <c r="H91" s="65">
        <f>SUM(H88:H90)</f>
        <v>34366</v>
      </c>
    </row>
    <row r="92" spans="1:8" ht="15.75">
      <c r="B92" s="1" t="s">
        <v>1710</v>
      </c>
      <c r="F92" s="42" t="s">
        <v>1689</v>
      </c>
      <c r="G92" s="69"/>
      <c r="H92" s="103">
        <f>FLOOR(H91*0.15,0.01)</f>
        <v>5154.9000000000005</v>
      </c>
    </row>
    <row r="93" spans="1:8" ht="20.100000000000001" customHeight="1">
      <c r="A93" s="28" t="s">
        <v>3384</v>
      </c>
      <c r="B93" s="103">
        <f>+H93/100</f>
        <v>395.209</v>
      </c>
      <c r="C93" s="1" t="s">
        <v>3385</v>
      </c>
      <c r="F93" s="42" t="s">
        <v>1711</v>
      </c>
      <c r="G93" s="69"/>
      <c r="H93" s="103">
        <f>SUM(H91:H92)</f>
        <v>39520.9</v>
      </c>
    </row>
    <row r="94" spans="1:8" ht="20.100000000000001" customHeight="1">
      <c r="A94" s="28"/>
      <c r="B94" s="151"/>
      <c r="F94" s="42"/>
      <c r="G94" s="678"/>
      <c r="H94" s="151"/>
    </row>
    <row r="95" spans="1:8" ht="20.100000000000001" customHeight="1">
      <c r="A95" s="28"/>
      <c r="B95" s="151"/>
      <c r="F95" s="42"/>
      <c r="G95" s="678"/>
      <c r="H95" s="151"/>
    </row>
    <row r="96" spans="1:8" ht="20.100000000000001" customHeight="1">
      <c r="A96" s="28"/>
      <c r="B96" s="151"/>
      <c r="F96" s="42"/>
      <c r="G96" s="678"/>
      <c r="H96" s="151"/>
    </row>
    <row r="97" spans="1:8" ht="20.100000000000001" customHeight="1">
      <c r="A97" s="28"/>
      <c r="B97" s="151"/>
      <c r="F97" s="42"/>
      <c r="G97" s="678"/>
      <c r="H97" s="151"/>
    </row>
    <row r="98" spans="1:8" ht="20.100000000000001" customHeight="1">
      <c r="A98" s="28"/>
      <c r="B98" s="151"/>
      <c r="F98" s="42"/>
      <c r="G98" s="678"/>
      <c r="H98" s="151"/>
    </row>
    <row r="99" spans="1:8" ht="20.100000000000001" customHeight="1">
      <c r="A99" s="28"/>
      <c r="B99" s="151"/>
      <c r="F99" s="42"/>
      <c r="G99" s="678"/>
      <c r="H99" s="151"/>
    </row>
    <row r="100" spans="1:8" ht="20.100000000000001" customHeight="1">
      <c r="A100" s="28"/>
      <c r="B100" s="151"/>
      <c r="F100" s="42"/>
      <c r="G100" s="678"/>
      <c r="H100" s="151"/>
    </row>
    <row r="101" spans="1:8" ht="20.100000000000001" customHeight="1">
      <c r="A101" s="28"/>
      <c r="B101" s="151"/>
      <c r="F101" s="42"/>
      <c r="G101" s="678"/>
      <c r="H101" s="151"/>
    </row>
    <row r="102" spans="1:8" ht="20.100000000000001" customHeight="1">
      <c r="A102" s="28"/>
      <c r="B102" s="151"/>
      <c r="F102" s="42"/>
      <c r="G102" s="678"/>
      <c r="H102" s="151"/>
    </row>
    <row r="103" spans="1:8" ht="20.100000000000001" customHeight="1">
      <c r="A103" s="28"/>
      <c r="B103" s="151"/>
      <c r="F103" s="42"/>
      <c r="G103" s="678"/>
      <c r="H103" s="151"/>
    </row>
    <row r="104" spans="1:8" ht="20.100000000000001" customHeight="1">
      <c r="H104" s="25"/>
    </row>
    <row r="105" spans="1:8" ht="18">
      <c r="A105" s="282">
        <f>+A84+1</f>
        <v>8</v>
      </c>
      <c r="B105" s="1134" t="s">
        <v>4307</v>
      </c>
      <c r="C105" s="1134"/>
      <c r="D105" s="1134"/>
      <c r="E105" s="1134"/>
      <c r="F105" s="1134"/>
      <c r="G105" s="1134"/>
      <c r="H105" s="1134"/>
    </row>
    <row r="106" spans="1:8" ht="18">
      <c r="A106" s="688" t="s">
        <v>3746</v>
      </c>
      <c r="B106" s="1134" t="s">
        <v>3734</v>
      </c>
      <c r="C106" s="1134"/>
      <c r="D106" s="1134"/>
      <c r="E106" s="1134"/>
      <c r="F106" s="1134"/>
      <c r="G106" s="1134"/>
      <c r="H106" s="1134"/>
    </row>
    <row r="107" spans="1:8">
      <c r="B107" s="1092" t="s">
        <v>3735</v>
      </c>
      <c r="C107" s="1092"/>
      <c r="D107" s="1092"/>
      <c r="E107" s="1092"/>
      <c r="F107" s="1092"/>
      <c r="G107" s="1092"/>
      <c r="H107" s="1092"/>
    </row>
    <row r="108" spans="1:8" ht="31.5">
      <c r="B108" s="70" t="s">
        <v>3340</v>
      </c>
      <c r="C108" s="70" t="s">
        <v>3341</v>
      </c>
      <c r="D108" s="70" t="s">
        <v>3342</v>
      </c>
      <c r="E108" s="70" t="s">
        <v>3343</v>
      </c>
      <c r="F108" s="70" t="s">
        <v>3344</v>
      </c>
      <c r="G108" s="70" t="s">
        <v>3345</v>
      </c>
      <c r="H108" s="70" t="s">
        <v>1704</v>
      </c>
    </row>
    <row r="109" spans="1:8" ht="17.25">
      <c r="B109" s="1069" t="s">
        <v>1705</v>
      </c>
      <c r="C109" s="669" t="s">
        <v>790</v>
      </c>
      <c r="D109" s="1021">
        <v>4</v>
      </c>
      <c r="E109" s="57" t="s">
        <v>1707</v>
      </c>
      <c r="F109" s="685">
        <f>'update Rate'!F5</f>
        <v>525</v>
      </c>
      <c r="G109" s="114">
        <f>FLOOR(D109*F109,0.01)</f>
        <v>2100</v>
      </c>
      <c r="H109" s="114"/>
    </row>
    <row r="110" spans="1:8" ht="26.25" customHeight="1">
      <c r="B110" s="1073"/>
      <c r="C110" s="58" t="s">
        <v>1706</v>
      </c>
      <c r="D110" s="864">
        <v>3</v>
      </c>
      <c r="E110" s="58" t="s">
        <v>1707</v>
      </c>
      <c r="F110" s="686">
        <f>'update Rate'!F4</f>
        <v>375</v>
      </c>
      <c r="G110" s="65">
        <f>FLOOR(D110*F110,0.01)</f>
        <v>1125</v>
      </c>
      <c r="H110" s="65">
        <f>+G110+G109</f>
        <v>3225</v>
      </c>
    </row>
    <row r="111" spans="1:8" ht="20.100000000000001" customHeight="1">
      <c r="B111" s="1069" t="s">
        <v>2330</v>
      </c>
      <c r="C111" s="57" t="s">
        <v>3736</v>
      </c>
      <c r="D111" s="47">
        <v>10</v>
      </c>
      <c r="E111" s="57" t="s">
        <v>803</v>
      </c>
      <c r="F111" s="819">
        <f>'update Rate'!F524</f>
        <v>5</v>
      </c>
      <c r="G111" s="114">
        <f>FLOOR(F111*D111,0.01)</f>
        <v>50</v>
      </c>
      <c r="H111" s="114"/>
    </row>
    <row r="112" spans="1:8" ht="20.100000000000001" customHeight="1">
      <c r="B112" s="1094"/>
      <c r="C112" s="56" t="s">
        <v>3733</v>
      </c>
      <c r="D112" s="44">
        <v>3</v>
      </c>
      <c r="E112" s="55" t="s">
        <v>3096</v>
      </c>
      <c r="F112" s="846">
        <f>'update Rate'!F509</f>
        <v>28</v>
      </c>
      <c r="G112" s="113">
        <f>FLOOR(D112*F112,0.01)</f>
        <v>84</v>
      </c>
      <c r="H112" s="113"/>
    </row>
    <row r="113" spans="1:8" ht="20.100000000000001" customHeight="1">
      <c r="B113" s="1094"/>
      <c r="C113" s="56" t="s">
        <v>3737</v>
      </c>
      <c r="D113" s="44">
        <v>1.98</v>
      </c>
      <c r="E113" s="55" t="s">
        <v>3096</v>
      </c>
      <c r="F113" s="846">
        <f>'update Rate'!F176</f>
        <v>115.5</v>
      </c>
      <c r="G113" s="113">
        <f>FLOOR(D113*F113,0.01)</f>
        <v>228.69</v>
      </c>
      <c r="H113" s="113"/>
    </row>
    <row r="114" spans="1:8" ht="20.100000000000001" customHeight="1">
      <c r="B114" s="1070"/>
      <c r="C114" s="140" t="s">
        <v>4308</v>
      </c>
      <c r="D114" s="45">
        <v>1.57</v>
      </c>
      <c r="E114" s="58" t="s">
        <v>3170</v>
      </c>
      <c r="F114" s="820">
        <f>'update Rate'!F219</f>
        <v>226</v>
      </c>
      <c r="G114" s="65">
        <f>FLOOR(D114*F114,0.01)</f>
        <v>354.82</v>
      </c>
      <c r="H114" s="65">
        <f>+G114+G113+G112+G111</f>
        <v>717.51</v>
      </c>
    </row>
    <row r="115" spans="1:8" ht="20.100000000000001" customHeight="1">
      <c r="B115" s="58" t="s">
        <v>2119</v>
      </c>
      <c r="C115" s="1020" t="s">
        <v>4306</v>
      </c>
      <c r="D115" s="46">
        <v>2</v>
      </c>
      <c r="E115" s="66" t="s">
        <v>2798</v>
      </c>
      <c r="F115" s="66" t="s">
        <v>3960</v>
      </c>
      <c r="G115" s="103">
        <v>100</v>
      </c>
      <c r="H115" s="65">
        <f>SUM(G115)</f>
        <v>100</v>
      </c>
    </row>
    <row r="116" spans="1:8" ht="20.100000000000001" customHeight="1">
      <c r="F116" s="42" t="s">
        <v>1708</v>
      </c>
      <c r="G116" s="680"/>
      <c r="H116" s="65">
        <f>SUM(H110:H115)</f>
        <v>4042.51</v>
      </c>
    </row>
    <row r="117" spans="1:8" ht="15.75">
      <c r="B117" s="1" t="s">
        <v>4525</v>
      </c>
      <c r="F117" s="42" t="s">
        <v>1689</v>
      </c>
      <c r="G117" s="678"/>
      <c r="H117" s="103">
        <f>FLOOR(H116*0.15,0.01)</f>
        <v>606.37</v>
      </c>
    </row>
    <row r="118" spans="1:8" ht="20.100000000000001" customHeight="1">
      <c r="A118" s="28" t="s">
        <v>3384</v>
      </c>
      <c r="B118" s="103">
        <f>+H118/10</f>
        <v>464.88800000000003</v>
      </c>
      <c r="C118" s="1" t="s">
        <v>3385</v>
      </c>
      <c r="F118" s="42" t="s">
        <v>1711</v>
      </c>
      <c r="G118" s="678"/>
      <c r="H118" s="103">
        <f>SUM(H116:H117)</f>
        <v>4648.88</v>
      </c>
    </row>
    <row r="119" spans="1:8" ht="20.100000000000001" customHeight="1">
      <c r="A119" s="28"/>
      <c r="B119" s="151"/>
      <c r="F119" s="42"/>
      <c r="G119" s="678"/>
      <c r="H119" s="151"/>
    </row>
    <row r="120" spans="1:8" ht="20.100000000000001" customHeight="1">
      <c r="A120" s="28"/>
      <c r="B120" s="151"/>
      <c r="F120" s="42"/>
      <c r="G120" s="678"/>
      <c r="H120" s="151"/>
    </row>
    <row r="121" spans="1:8" ht="18">
      <c r="A121" s="282">
        <f>+A105+1</f>
        <v>9</v>
      </c>
      <c r="B121" s="1134" t="s">
        <v>3739</v>
      </c>
      <c r="C121" s="1134"/>
      <c r="D121" s="1134"/>
      <c r="E121" s="1134"/>
      <c r="F121" s="1134"/>
      <c r="G121" s="1134"/>
      <c r="H121" s="1134"/>
    </row>
    <row r="122" spans="1:8" ht="18">
      <c r="A122" s="688" t="s">
        <v>3747</v>
      </c>
      <c r="B122" s="1152" t="s">
        <v>3738</v>
      </c>
      <c r="C122" s="1134"/>
      <c r="D122" s="1134"/>
      <c r="E122" s="1134"/>
      <c r="F122" s="1134"/>
      <c r="G122" s="1134"/>
      <c r="H122" s="1134"/>
    </row>
    <row r="123" spans="1:8">
      <c r="B123" s="1092" t="s">
        <v>3740</v>
      </c>
      <c r="C123" s="1092"/>
      <c r="D123" s="1092"/>
      <c r="E123" s="1092"/>
      <c r="F123" s="1092"/>
      <c r="G123" s="1092"/>
      <c r="H123" s="1092"/>
    </row>
    <row r="124" spans="1:8" ht="31.5">
      <c r="B124" s="70" t="s">
        <v>3340</v>
      </c>
      <c r="C124" s="70" t="s">
        <v>3341</v>
      </c>
      <c r="D124" s="70" t="s">
        <v>3342</v>
      </c>
      <c r="E124" s="70" t="s">
        <v>3343</v>
      </c>
      <c r="F124" s="70" t="s">
        <v>3344</v>
      </c>
      <c r="G124" s="70" t="s">
        <v>3345</v>
      </c>
      <c r="H124" s="70" t="s">
        <v>1704</v>
      </c>
    </row>
    <row r="125" spans="1:8" ht="17.25">
      <c r="B125" s="1069" t="s">
        <v>1705</v>
      </c>
      <c r="C125" s="669" t="s">
        <v>3741</v>
      </c>
      <c r="D125" s="863">
        <v>4</v>
      </c>
      <c r="E125" s="55" t="s">
        <v>1707</v>
      </c>
      <c r="F125" s="847">
        <f>'update Rate'!F531</f>
        <v>702</v>
      </c>
      <c r="G125" s="113">
        <f>FLOOR(D125*F125,0.01)</f>
        <v>2808</v>
      </c>
      <c r="H125" s="113"/>
    </row>
    <row r="126" spans="1:8" ht="17.25">
      <c r="B126" s="1094"/>
      <c r="C126" s="672" t="s">
        <v>3742</v>
      </c>
      <c r="D126" s="863">
        <v>1</v>
      </c>
      <c r="E126" s="55" t="s">
        <v>1707</v>
      </c>
      <c r="F126" s="847">
        <f>'update Rate'!F532</f>
        <v>525</v>
      </c>
      <c r="G126" s="113">
        <f>FLOOR(D126*F126,0.01)</f>
        <v>525</v>
      </c>
      <c r="H126" s="113"/>
    </row>
    <row r="127" spans="1:8" ht="17.25">
      <c r="B127" s="1094"/>
      <c r="C127" s="672" t="s">
        <v>790</v>
      </c>
      <c r="D127" s="863">
        <v>1</v>
      </c>
      <c r="E127" s="55" t="s">
        <v>1707</v>
      </c>
      <c r="F127" s="687">
        <f>'update Rate'!F5</f>
        <v>525</v>
      </c>
      <c r="G127" s="113">
        <f>FLOOR(D127*F127,0.01)</f>
        <v>525</v>
      </c>
      <c r="H127" s="113"/>
    </row>
    <row r="128" spans="1:8" ht="20.25" customHeight="1">
      <c r="B128" s="1073"/>
      <c r="C128" s="58" t="s">
        <v>1706</v>
      </c>
      <c r="D128" s="864">
        <v>2</v>
      </c>
      <c r="E128" s="58" t="s">
        <v>1707</v>
      </c>
      <c r="F128" s="686">
        <f>'update Rate'!F4</f>
        <v>375</v>
      </c>
      <c r="G128" s="65">
        <f>FLOOR(D128*F128,0.01)</f>
        <v>750</v>
      </c>
      <c r="H128" s="65">
        <f>+G128+G127+G126+G125</f>
        <v>4608</v>
      </c>
    </row>
    <row r="129" spans="1:8" ht="20.100000000000001" customHeight="1">
      <c r="B129" s="1069" t="s">
        <v>2330</v>
      </c>
      <c r="C129" s="858" t="s">
        <v>4045</v>
      </c>
      <c r="D129" s="1022">
        <v>15</v>
      </c>
      <c r="E129" s="858" t="s">
        <v>1643</v>
      </c>
      <c r="F129" s="858" t="s">
        <v>3960</v>
      </c>
      <c r="G129" s="596">
        <v>300</v>
      </c>
      <c r="H129" s="113"/>
    </row>
    <row r="130" spans="1:8" ht="168.75" customHeight="1">
      <c r="B130" s="1094"/>
      <c r="C130" s="860" t="s">
        <v>4046</v>
      </c>
      <c r="D130" s="861" t="s">
        <v>3173</v>
      </c>
      <c r="E130" s="589" t="s">
        <v>3171</v>
      </c>
      <c r="F130" s="858" t="s">
        <v>3960</v>
      </c>
      <c r="G130" s="594">
        <v>20000</v>
      </c>
      <c r="H130" s="113"/>
    </row>
    <row r="131" spans="1:8" ht="19.5" customHeight="1">
      <c r="B131" s="837"/>
      <c r="C131" s="859" t="s">
        <v>4067</v>
      </c>
      <c r="D131" s="862" t="s">
        <v>3173</v>
      </c>
      <c r="E131" s="858" t="s">
        <v>3171</v>
      </c>
      <c r="F131" s="858" t="s">
        <v>3960</v>
      </c>
      <c r="G131" s="596">
        <v>5000</v>
      </c>
      <c r="H131" s="65">
        <f>SUM(G129:G131)</f>
        <v>25300</v>
      </c>
    </row>
    <row r="132" spans="1:8" ht="20.100000000000001" customHeight="1">
      <c r="B132" s="1067" t="s">
        <v>2119</v>
      </c>
      <c r="C132" s="583" t="s">
        <v>4068</v>
      </c>
      <c r="D132" s="582"/>
      <c r="E132" s="583"/>
      <c r="F132" s="846"/>
      <c r="G132" s="585"/>
      <c r="H132" s="113"/>
    </row>
    <row r="133" spans="1:8" ht="20.100000000000001" customHeight="1">
      <c r="B133" s="1099"/>
      <c r="C133" s="589" t="s">
        <v>4050</v>
      </c>
      <c r="D133" s="787">
        <v>8</v>
      </c>
      <c r="E133" s="589" t="s">
        <v>2798</v>
      </c>
      <c r="F133" s="858" t="s">
        <v>3960</v>
      </c>
      <c r="G133" s="594">
        <v>16000</v>
      </c>
      <c r="H133" s="65">
        <f>G133</f>
        <v>16000</v>
      </c>
    </row>
    <row r="134" spans="1:8" ht="20.100000000000001" customHeight="1">
      <c r="F134" s="42" t="s">
        <v>1708</v>
      </c>
      <c r="G134" s="680"/>
      <c r="H134" s="103">
        <f>SUM(H128:H133)</f>
        <v>45908</v>
      </c>
    </row>
    <row r="135" spans="1:8" ht="15.75">
      <c r="B135" s="1" t="s">
        <v>4097</v>
      </c>
      <c r="F135" s="42" t="s">
        <v>1689</v>
      </c>
      <c r="G135" s="678"/>
      <c r="H135" s="103">
        <f>FLOOR(H134*0.15,0.01)</f>
        <v>6886.2</v>
      </c>
    </row>
    <row r="136" spans="1:8" ht="20.100000000000001" customHeight="1">
      <c r="A136" s="28" t="s">
        <v>3384</v>
      </c>
      <c r="B136" s="103">
        <f>+H136</f>
        <v>52794.2</v>
      </c>
      <c r="C136" s="1" t="s">
        <v>3385</v>
      </c>
      <c r="F136" s="42" t="s">
        <v>1711</v>
      </c>
      <c r="G136" s="678"/>
      <c r="H136" s="849">
        <f>SUM(H134:H135)</f>
        <v>52794.2</v>
      </c>
    </row>
    <row r="137" spans="1:8" ht="20.100000000000001" customHeight="1">
      <c r="A137" s="28"/>
      <c r="B137" s="151"/>
      <c r="F137" s="42"/>
      <c r="G137" s="678"/>
      <c r="H137" s="151"/>
    </row>
    <row r="138" spans="1:8" ht="20.100000000000001" customHeight="1">
      <c r="A138" s="28"/>
      <c r="B138" s="151"/>
      <c r="F138" s="42"/>
      <c r="G138" s="678"/>
      <c r="H138" s="151"/>
    </row>
    <row r="139" spans="1:8" ht="20.100000000000001" customHeight="1">
      <c r="A139" s="28"/>
      <c r="B139" s="151"/>
      <c r="F139" s="42"/>
      <c r="G139" s="678"/>
      <c r="H139" s="151"/>
    </row>
    <row r="140" spans="1:8" ht="20.100000000000001" customHeight="1">
      <c r="A140" s="28"/>
      <c r="B140" s="151"/>
      <c r="F140" s="42"/>
      <c r="G140" s="678"/>
      <c r="H140" s="151"/>
    </row>
    <row r="141" spans="1:8" ht="20.100000000000001" customHeight="1">
      <c r="A141" s="28"/>
      <c r="B141" s="151"/>
      <c r="F141" s="42"/>
      <c r="G141" s="678"/>
      <c r="H141" s="151"/>
    </row>
    <row r="142" spans="1:8" ht="20.100000000000001" customHeight="1">
      <c r="A142" s="28"/>
      <c r="B142" s="151"/>
      <c r="F142" s="42"/>
      <c r="G142" s="678"/>
      <c r="H142" s="151"/>
    </row>
    <row r="143" spans="1:8" ht="20.100000000000001" customHeight="1">
      <c r="A143" s="28"/>
      <c r="B143" s="151"/>
      <c r="F143" s="42"/>
      <c r="G143" s="678"/>
      <c r="H143" s="151"/>
    </row>
    <row r="144" spans="1:8" ht="20.100000000000001" customHeight="1">
      <c r="A144" s="28"/>
      <c r="B144" s="151"/>
      <c r="F144" s="42"/>
      <c r="G144" s="678"/>
      <c r="H144" s="151"/>
    </row>
    <row r="145" spans="1:8" ht="18">
      <c r="A145" s="282">
        <f>+A121+1</f>
        <v>10</v>
      </c>
      <c r="B145" s="1134" t="s">
        <v>1794</v>
      </c>
      <c r="C145" s="1134"/>
      <c r="D145" s="1134"/>
      <c r="E145" s="1134"/>
      <c r="F145" s="1134"/>
      <c r="G145" s="1134"/>
      <c r="H145" s="1134"/>
    </row>
    <row r="146" spans="1:8" ht="18">
      <c r="A146" s="688" t="s">
        <v>4369</v>
      </c>
      <c r="B146" s="1134" t="s">
        <v>1795</v>
      </c>
      <c r="C146" s="1134"/>
      <c r="D146" s="1134"/>
      <c r="E146" s="1134"/>
      <c r="F146" s="1134"/>
      <c r="G146" s="1134"/>
      <c r="H146" s="1134"/>
    </row>
    <row r="147" spans="1:8">
      <c r="B147" s="1092" t="s">
        <v>2529</v>
      </c>
      <c r="C147" s="1092"/>
      <c r="D147" s="1092"/>
      <c r="E147" s="1092"/>
      <c r="F147" s="1092"/>
      <c r="G147" s="1092"/>
      <c r="H147" s="1092"/>
    </row>
    <row r="148" spans="1:8" ht="31.5">
      <c r="B148" s="70" t="s">
        <v>3340</v>
      </c>
      <c r="C148" s="70" t="s">
        <v>3341</v>
      </c>
      <c r="D148" s="70" t="s">
        <v>3342</v>
      </c>
      <c r="E148" s="70" t="s">
        <v>3343</v>
      </c>
      <c r="F148" s="70" t="s">
        <v>3344</v>
      </c>
      <c r="G148" s="70" t="s">
        <v>3345</v>
      </c>
      <c r="H148" s="70" t="s">
        <v>1704</v>
      </c>
    </row>
    <row r="149" spans="1:8" ht="16.5" customHeight="1">
      <c r="B149" s="70" t="s">
        <v>1705</v>
      </c>
      <c r="C149" s="70" t="s">
        <v>1706</v>
      </c>
      <c r="D149" s="267">
        <v>0.7</v>
      </c>
      <c r="E149" s="70" t="s">
        <v>1707</v>
      </c>
      <c r="F149" s="105">
        <f>'update Rate'!F4</f>
        <v>375</v>
      </c>
      <c r="G149" s="103">
        <f>FLOOR(D149*F149,0.01)</f>
        <v>262.5</v>
      </c>
      <c r="H149" s="103">
        <f>(G149)</f>
        <v>262.5</v>
      </c>
    </row>
    <row r="150" spans="1:8" ht="21" customHeight="1">
      <c r="B150" s="72" t="s">
        <v>2119</v>
      </c>
      <c r="C150" s="73" t="s">
        <v>2120</v>
      </c>
      <c r="D150" s="26"/>
      <c r="E150" s="26"/>
      <c r="F150" s="109"/>
      <c r="G150" s="108"/>
      <c r="H150" s="105">
        <f>INT(H149*0.03*100)/100</f>
        <v>7.87</v>
      </c>
    </row>
    <row r="151" spans="1:8" ht="20.25" customHeight="1">
      <c r="F151" s="42" t="s">
        <v>1708</v>
      </c>
      <c r="G151" s="42"/>
      <c r="H151" s="105">
        <f>SUM(H149:H150)</f>
        <v>270.37</v>
      </c>
    </row>
    <row r="152" spans="1:8" ht="24.75" customHeight="1">
      <c r="F152" s="42" t="s">
        <v>1689</v>
      </c>
      <c r="G152" s="42"/>
      <c r="H152" s="103">
        <f>FLOOR(H151*0.15,0.01)</f>
        <v>40.550000000000004</v>
      </c>
    </row>
    <row r="153" spans="1:8" ht="15.75">
      <c r="B153" s="1" t="s">
        <v>3658</v>
      </c>
      <c r="F153" s="42" t="s">
        <v>1711</v>
      </c>
      <c r="G153" s="42"/>
      <c r="H153" s="103">
        <f>SUM(H151:H152)</f>
        <v>310.92</v>
      </c>
    </row>
    <row r="154" spans="1:8">
      <c r="A154" s="28" t="s">
        <v>3384</v>
      </c>
      <c r="B154" s="103">
        <f>+H153</f>
        <v>310.92</v>
      </c>
      <c r="C154" s="1" t="s">
        <v>3385</v>
      </c>
    </row>
    <row r="155" spans="1:8" ht="20.100000000000001" customHeight="1"/>
    <row r="157" spans="1:8" ht="18">
      <c r="A157" s="282">
        <f>+A145+1</f>
        <v>11</v>
      </c>
      <c r="B157" s="1134" t="s">
        <v>1578</v>
      </c>
      <c r="C157" s="1134"/>
      <c r="D157" s="1134"/>
      <c r="E157" s="1134"/>
      <c r="F157" s="1134"/>
      <c r="G157" s="1134"/>
      <c r="H157" s="1134"/>
    </row>
    <row r="158" spans="1:8" ht="18">
      <c r="A158" s="688" t="s">
        <v>4369</v>
      </c>
      <c r="B158" s="1134" t="s">
        <v>2762</v>
      </c>
      <c r="C158" s="1134"/>
      <c r="D158" s="1134"/>
      <c r="E158" s="1134"/>
      <c r="F158" s="1134"/>
      <c r="G158" s="1134"/>
      <c r="H158" s="1134"/>
    </row>
    <row r="159" spans="1:8">
      <c r="B159" s="1092" t="s">
        <v>2529</v>
      </c>
      <c r="C159" s="1092"/>
      <c r="D159" s="1092"/>
      <c r="E159" s="1092"/>
      <c r="F159" s="1092"/>
      <c r="G159" s="1092"/>
      <c r="H159" s="1092"/>
    </row>
    <row r="160" spans="1:8" ht="33.75" customHeight="1">
      <c r="B160" s="70" t="s">
        <v>3340</v>
      </c>
      <c r="C160" s="70" t="s">
        <v>3341</v>
      </c>
      <c r="D160" s="70" t="s">
        <v>3342</v>
      </c>
      <c r="E160" s="70" t="s">
        <v>3343</v>
      </c>
      <c r="F160" s="70" t="s">
        <v>3344</v>
      </c>
      <c r="G160" s="70" t="s">
        <v>3345</v>
      </c>
      <c r="H160" s="70" t="s">
        <v>1704</v>
      </c>
    </row>
    <row r="161" spans="1:8" ht="18" customHeight="1">
      <c r="B161" s="70" t="s">
        <v>1705</v>
      </c>
      <c r="C161" s="70" t="s">
        <v>1706</v>
      </c>
      <c r="D161" s="267">
        <v>0.8</v>
      </c>
      <c r="E161" s="70" t="s">
        <v>1707</v>
      </c>
      <c r="F161" s="105">
        <f>'update Rate'!F4</f>
        <v>375</v>
      </c>
      <c r="G161" s="103">
        <f>FLOOR(D161*F161,0.01)</f>
        <v>300</v>
      </c>
      <c r="H161" s="103">
        <f>(G161)</f>
        <v>300</v>
      </c>
    </row>
    <row r="162" spans="1:8" ht="31.5">
      <c r="B162" s="70" t="s">
        <v>2119</v>
      </c>
      <c r="C162" s="1155" t="s">
        <v>2120</v>
      </c>
      <c r="D162" s="1156"/>
      <c r="E162" s="1156"/>
      <c r="F162" s="1156"/>
      <c r="G162" s="116"/>
      <c r="H162" s="105">
        <f>INT(H161*0.03*100)/100</f>
        <v>9</v>
      </c>
    </row>
    <row r="163" spans="1:8" ht="21.95" customHeight="1">
      <c r="E163" s="42"/>
      <c r="F163" s="42" t="s">
        <v>1708</v>
      </c>
      <c r="G163" s="74"/>
      <c r="H163" s="105">
        <f>SUM(H161:H162)</f>
        <v>309</v>
      </c>
    </row>
    <row r="164" spans="1:8" ht="21.95" customHeight="1">
      <c r="E164" s="42"/>
      <c r="F164" s="42" t="s">
        <v>1689</v>
      </c>
      <c r="G164" s="42"/>
      <c r="H164" s="103">
        <f>FLOOR(H163*0.15,0.01)</f>
        <v>46.35</v>
      </c>
    </row>
    <row r="165" spans="1:8" ht="21.95" customHeight="1">
      <c r="B165" s="1" t="s">
        <v>3658</v>
      </c>
      <c r="E165" s="42"/>
      <c r="F165" s="42" t="s">
        <v>1711</v>
      </c>
      <c r="G165" s="42"/>
      <c r="H165" s="105">
        <f>SUM(H163:H164)</f>
        <v>355.35</v>
      </c>
    </row>
    <row r="166" spans="1:8">
      <c r="A166" s="28" t="s">
        <v>3384</v>
      </c>
      <c r="B166" s="103">
        <f>+H165</f>
        <v>355.35</v>
      </c>
      <c r="C166" s="1" t="s">
        <v>3385</v>
      </c>
    </row>
    <row r="167" spans="1:8">
      <c r="A167" s="28"/>
      <c r="B167" s="151"/>
    </row>
    <row r="168" spans="1:8">
      <c r="A168" s="28"/>
      <c r="B168" s="151"/>
    </row>
    <row r="169" spans="1:8">
      <c r="A169" s="28"/>
      <c r="B169" s="151"/>
    </row>
    <row r="170" spans="1:8">
      <c r="A170" s="28"/>
      <c r="B170" s="151"/>
    </row>
    <row r="171" spans="1:8">
      <c r="A171" s="28"/>
      <c r="B171" s="151"/>
    </row>
    <row r="172" spans="1:8" ht="18">
      <c r="A172" s="282">
        <f>+A157+1</f>
        <v>12</v>
      </c>
      <c r="B172" s="1134" t="s">
        <v>3748</v>
      </c>
      <c r="C172" s="1134"/>
      <c r="D172" s="1134"/>
      <c r="E172" s="1134"/>
      <c r="F172" s="1134"/>
      <c r="G172" s="1134"/>
      <c r="H172" s="1134"/>
    </row>
    <row r="173" spans="1:8" ht="18">
      <c r="A173" s="688" t="s">
        <v>4369</v>
      </c>
      <c r="B173" s="1134" t="s">
        <v>2762</v>
      </c>
      <c r="C173" s="1134"/>
      <c r="D173" s="1134"/>
      <c r="E173" s="1134"/>
      <c r="F173" s="1134"/>
      <c r="G173" s="1134"/>
      <c r="H173" s="1134"/>
    </row>
    <row r="174" spans="1:8">
      <c r="B174" s="1092" t="s">
        <v>2529</v>
      </c>
      <c r="C174" s="1092"/>
      <c r="D174" s="1092"/>
      <c r="E174" s="1092"/>
      <c r="F174" s="1092"/>
      <c r="G174" s="1092"/>
      <c r="H174" s="1092"/>
    </row>
    <row r="175" spans="1:8" ht="33.75" customHeight="1">
      <c r="B175" s="70" t="s">
        <v>3340</v>
      </c>
      <c r="C175" s="70" t="s">
        <v>3341</v>
      </c>
      <c r="D175" s="70" t="s">
        <v>3342</v>
      </c>
      <c r="E175" s="70" t="s">
        <v>3343</v>
      </c>
      <c r="F175" s="70" t="s">
        <v>3344</v>
      </c>
      <c r="G175" s="70" t="s">
        <v>3345</v>
      </c>
      <c r="H175" s="70" t="s">
        <v>1704</v>
      </c>
    </row>
    <row r="176" spans="1:8" ht="17.25" customHeight="1">
      <c r="B176" s="70" t="s">
        <v>1705</v>
      </c>
      <c r="C176" s="70" t="s">
        <v>1706</v>
      </c>
      <c r="D176" s="267">
        <v>3</v>
      </c>
      <c r="E176" s="70" t="s">
        <v>1707</v>
      </c>
      <c r="F176" s="105">
        <f>'update Rate'!F4</f>
        <v>375</v>
      </c>
      <c r="G176" s="103">
        <f>FLOOR(D176*F176,0.01)</f>
        <v>1125</v>
      </c>
      <c r="H176" s="103">
        <f>(G176)</f>
        <v>1125</v>
      </c>
    </row>
    <row r="177" spans="1:8" ht="21.75" customHeight="1">
      <c r="B177" s="70" t="s">
        <v>2119</v>
      </c>
      <c r="C177" s="1155" t="s">
        <v>2120</v>
      </c>
      <c r="D177" s="1156"/>
      <c r="E177" s="1156"/>
      <c r="F177" s="1156"/>
      <c r="G177" s="116"/>
      <c r="H177" s="105">
        <f>INT(H176*0.03*100)/100</f>
        <v>33.75</v>
      </c>
    </row>
    <row r="178" spans="1:8" ht="21.95" customHeight="1">
      <c r="E178" s="42"/>
      <c r="F178" s="42" t="s">
        <v>1708</v>
      </c>
      <c r="G178" s="74"/>
      <c r="H178" s="105">
        <f>SUM(H176:H177)</f>
        <v>1158.75</v>
      </c>
    </row>
    <row r="179" spans="1:8" ht="21.95" customHeight="1">
      <c r="E179" s="42"/>
      <c r="F179" s="42" t="s">
        <v>1689</v>
      </c>
      <c r="G179" s="42"/>
      <c r="H179" s="103">
        <f>FLOOR(H178*0.15,0.01)</f>
        <v>173.81</v>
      </c>
    </row>
    <row r="180" spans="1:8" ht="21.95" customHeight="1">
      <c r="B180" s="1" t="s">
        <v>3658</v>
      </c>
      <c r="E180" s="42"/>
      <c r="F180" s="42" t="s">
        <v>1711</v>
      </c>
      <c r="G180" s="42"/>
      <c r="H180" s="105">
        <f>SUM(H178:H179)</f>
        <v>1332.56</v>
      </c>
    </row>
    <row r="181" spans="1:8">
      <c r="A181" s="28" t="s">
        <v>3384</v>
      </c>
      <c r="B181" s="103">
        <f>+H180</f>
        <v>1332.56</v>
      </c>
      <c r="C181" s="1" t="s">
        <v>3385</v>
      </c>
    </row>
    <row r="182" spans="1:8">
      <c r="B182" s="33"/>
      <c r="H182" s="25"/>
    </row>
    <row r="183" spans="1:8">
      <c r="B183" s="33"/>
      <c r="H183" s="25"/>
    </row>
    <row r="184" spans="1:8">
      <c r="B184" s="33"/>
      <c r="H184" s="25"/>
    </row>
    <row r="185" spans="1:8">
      <c r="B185" s="33"/>
      <c r="H185" s="25"/>
    </row>
    <row r="186" spans="1:8">
      <c r="B186" s="33"/>
      <c r="H186" s="25"/>
    </row>
    <row r="187" spans="1:8" ht="18">
      <c r="A187" s="282">
        <f>+A172+1</f>
        <v>13</v>
      </c>
      <c r="B187" s="1134" t="s">
        <v>2796</v>
      </c>
      <c r="C187" s="1134"/>
      <c r="D187" s="1134"/>
      <c r="E187" s="1134"/>
      <c r="F187" s="1134"/>
      <c r="G187" s="1134"/>
      <c r="H187" s="1134"/>
    </row>
    <row r="188" spans="1:8" ht="18">
      <c r="A188" s="688" t="s">
        <v>4370</v>
      </c>
      <c r="B188" s="1134" t="s">
        <v>3116</v>
      </c>
      <c r="C188" s="1134"/>
      <c r="D188" s="1134"/>
      <c r="E188" s="1134"/>
      <c r="F188" s="1134"/>
      <c r="G188" s="1134"/>
      <c r="H188" s="1134"/>
    </row>
    <row r="189" spans="1:8">
      <c r="B189" s="1092" t="s">
        <v>2529</v>
      </c>
      <c r="C189" s="1092"/>
      <c r="D189" s="1092"/>
      <c r="E189" s="1092"/>
      <c r="F189" s="1092"/>
      <c r="G189" s="1092"/>
      <c r="H189" s="1092"/>
    </row>
    <row r="190" spans="1:8" ht="31.5">
      <c r="B190" s="70" t="s">
        <v>3340</v>
      </c>
      <c r="C190" s="70" t="s">
        <v>3341</v>
      </c>
      <c r="D190" s="70" t="s">
        <v>3342</v>
      </c>
      <c r="E190" s="70" t="s">
        <v>3343</v>
      </c>
      <c r="F190" s="70" t="s">
        <v>3344</v>
      </c>
      <c r="G190" s="70" t="s">
        <v>3345</v>
      </c>
      <c r="H190" s="70" t="s">
        <v>1704</v>
      </c>
    </row>
    <row r="191" spans="1:8" ht="16.5" customHeight="1">
      <c r="B191" s="669" t="s">
        <v>1705</v>
      </c>
      <c r="C191" s="669" t="s">
        <v>1706</v>
      </c>
      <c r="D191" s="87">
        <v>0.5</v>
      </c>
      <c r="E191" s="669" t="s">
        <v>1707</v>
      </c>
      <c r="F191" s="111">
        <f>'update Rate'!E4</f>
        <v>375</v>
      </c>
      <c r="G191" s="114">
        <f>FLOOR(D191*F191,0.01)</f>
        <v>187.5</v>
      </c>
      <c r="H191" s="114">
        <f>+G191</f>
        <v>187.5</v>
      </c>
    </row>
    <row r="192" spans="1:8" ht="18.75" customHeight="1">
      <c r="B192" s="1069" t="s">
        <v>2330</v>
      </c>
      <c r="C192" s="57" t="s">
        <v>2090</v>
      </c>
      <c r="D192" s="87">
        <v>1.5</v>
      </c>
      <c r="E192" s="57" t="s">
        <v>2530</v>
      </c>
      <c r="F192" s="111">
        <f>'update Rate'!F17</f>
        <v>220</v>
      </c>
      <c r="G192" s="114">
        <f>FLOOR(D192*F192,0.01)</f>
        <v>330</v>
      </c>
      <c r="H192" s="114"/>
    </row>
    <row r="193" spans="1:8" ht="18.75" customHeight="1">
      <c r="B193" s="1073"/>
      <c r="C193" s="58" t="s">
        <v>3749</v>
      </c>
      <c r="D193" s="271">
        <v>5</v>
      </c>
      <c r="E193" s="58" t="s">
        <v>3750</v>
      </c>
      <c r="F193" s="126">
        <f>'update Rate'!F508</f>
        <v>0.25</v>
      </c>
      <c r="G193" s="65">
        <f>FLOOR(D193*F193,0.01)</f>
        <v>1.25</v>
      </c>
      <c r="H193" s="65">
        <f>+G193+G192</f>
        <v>331.25</v>
      </c>
    </row>
    <row r="194" spans="1:8" ht="15.75">
      <c r="F194" s="42" t="s">
        <v>1708</v>
      </c>
      <c r="G194" s="117"/>
      <c r="H194" s="103">
        <f>SUM(H191:H193)</f>
        <v>518.75</v>
      </c>
    </row>
    <row r="195" spans="1:8" ht="15.75">
      <c r="B195" s="1" t="s">
        <v>3658</v>
      </c>
      <c r="F195" s="42" t="s">
        <v>1689</v>
      </c>
      <c r="G195" s="117"/>
      <c r="H195" s="103">
        <f>FLOOR(H194*0.15,0.01)</f>
        <v>77.81</v>
      </c>
    </row>
    <row r="196" spans="1:8" ht="15.75">
      <c r="A196" s="28" t="s">
        <v>3384</v>
      </c>
      <c r="B196" s="103">
        <f>+H196</f>
        <v>596.55999999999995</v>
      </c>
      <c r="C196" s="1" t="s">
        <v>3385</v>
      </c>
      <c r="F196" s="42" t="s">
        <v>1711</v>
      </c>
      <c r="G196" s="117"/>
      <c r="H196" s="103">
        <f>SUM(H194:H195)</f>
        <v>596.55999999999995</v>
      </c>
    </row>
    <row r="197" spans="1:8">
      <c r="B197" s="33"/>
      <c r="H197" s="25"/>
    </row>
    <row r="198" spans="1:8">
      <c r="B198" s="33"/>
      <c r="H198" s="25"/>
    </row>
    <row r="199" spans="1:8" ht="20.100000000000001" customHeight="1">
      <c r="B199" s="33"/>
      <c r="H199" s="25"/>
    </row>
    <row r="200" spans="1:8" ht="20.100000000000001" customHeight="1">
      <c r="A200" s="282">
        <f>+A187+1</f>
        <v>14</v>
      </c>
      <c r="B200" s="1089" t="s">
        <v>2797</v>
      </c>
      <c r="C200" s="1089"/>
      <c r="D200" s="1089"/>
      <c r="E200" s="1089"/>
      <c r="F200" s="1089"/>
      <c r="G200" s="1089"/>
      <c r="H200" s="1089"/>
    </row>
    <row r="201" spans="1:8" ht="20.100000000000001" customHeight="1">
      <c r="A201" s="688" t="s">
        <v>4370</v>
      </c>
      <c r="B201" s="1092" t="s">
        <v>2529</v>
      </c>
      <c r="C201" s="1092"/>
      <c r="D201" s="1092"/>
      <c r="E201" s="1092"/>
      <c r="F201" s="1092"/>
      <c r="G201" s="1092"/>
      <c r="H201" s="1092"/>
    </row>
    <row r="202" spans="1:8" ht="31.5">
      <c r="B202" s="70" t="s">
        <v>3340</v>
      </c>
      <c r="C202" s="70" t="s">
        <v>3341</v>
      </c>
      <c r="D202" s="70" t="s">
        <v>3342</v>
      </c>
      <c r="E202" s="70" t="s">
        <v>3343</v>
      </c>
      <c r="F202" s="70" t="s">
        <v>3344</v>
      </c>
      <c r="G202" s="70" t="s">
        <v>3345</v>
      </c>
      <c r="H202" s="70" t="s">
        <v>1704</v>
      </c>
    </row>
    <row r="203" spans="1:8" ht="18" customHeight="1">
      <c r="B203" s="70" t="s">
        <v>1705</v>
      </c>
      <c r="C203" s="70" t="s">
        <v>1706</v>
      </c>
      <c r="D203" s="268">
        <v>0.25</v>
      </c>
      <c r="E203" s="70" t="s">
        <v>1707</v>
      </c>
      <c r="F203" s="105">
        <f>'update Rate'!F4</f>
        <v>375</v>
      </c>
      <c r="G203" s="103">
        <f>FLOOR(D203*F203,0.01)</f>
        <v>93.75</v>
      </c>
      <c r="H203" s="103">
        <f>(G203)</f>
        <v>93.75</v>
      </c>
    </row>
    <row r="204" spans="1:8" ht="18.75" customHeight="1">
      <c r="B204" s="691" t="s">
        <v>2330</v>
      </c>
      <c r="C204" s="689" t="s">
        <v>2090</v>
      </c>
      <c r="D204" s="267">
        <v>1.3</v>
      </c>
      <c r="E204" s="66" t="s">
        <v>2530</v>
      </c>
      <c r="F204" s="105">
        <f>'update Rate'!F17</f>
        <v>220</v>
      </c>
      <c r="G204" s="103">
        <f>FLOOR(D204*F204,0.01)</f>
        <v>286</v>
      </c>
      <c r="H204" s="103">
        <f>+G204</f>
        <v>286</v>
      </c>
    </row>
    <row r="205" spans="1:8" ht="15.75">
      <c r="B205" s="690"/>
      <c r="F205" s="42" t="s">
        <v>1708</v>
      </c>
      <c r="G205" s="42"/>
      <c r="H205" s="65">
        <f>SUM(H203:H204)</f>
        <v>379.75</v>
      </c>
    </row>
    <row r="206" spans="1:8" ht="15.75">
      <c r="B206" s="1" t="s">
        <v>3658</v>
      </c>
      <c r="F206" s="42" t="s">
        <v>1689</v>
      </c>
      <c r="G206" s="42"/>
      <c r="H206" s="103">
        <f>FLOOR(H205*0.15,0.01)</f>
        <v>56.96</v>
      </c>
    </row>
    <row r="207" spans="1:8" ht="21" customHeight="1">
      <c r="A207" s="28" t="s">
        <v>3384</v>
      </c>
      <c r="B207" s="103">
        <f>+H207</f>
        <v>436.71</v>
      </c>
      <c r="C207" s="1" t="s">
        <v>3385</v>
      </c>
      <c r="F207" s="42" t="s">
        <v>1711</v>
      </c>
      <c r="G207" s="42"/>
      <c r="H207" s="96">
        <f>SUM(H205:H206)</f>
        <v>436.71</v>
      </c>
    </row>
    <row r="208" spans="1:8" ht="21" customHeight="1">
      <c r="A208" s="28"/>
      <c r="B208" s="151"/>
      <c r="F208" s="42"/>
      <c r="G208" s="42"/>
      <c r="H208" s="134"/>
    </row>
    <row r="209" spans="1:11" ht="9.75" customHeight="1">
      <c r="A209" s="28"/>
      <c r="B209" s="151"/>
      <c r="F209" s="42"/>
      <c r="G209" s="42"/>
      <c r="H209" s="134"/>
    </row>
    <row r="210" spans="1:11" ht="18">
      <c r="A210" s="282">
        <f>+A200+1</f>
        <v>15</v>
      </c>
      <c r="B210" s="1134" t="s">
        <v>3751</v>
      </c>
      <c r="C210" s="1134"/>
      <c r="D210" s="1134"/>
      <c r="E210" s="1134"/>
      <c r="F210" s="1134"/>
      <c r="G210" s="1134"/>
      <c r="H210" s="1134"/>
    </row>
    <row r="211" spans="1:11" ht="18">
      <c r="A211" s="688" t="s">
        <v>4371</v>
      </c>
      <c r="B211" s="1152" t="s">
        <v>3752</v>
      </c>
      <c r="C211" s="1134"/>
      <c r="D211" s="1134"/>
      <c r="E211" s="1134"/>
      <c r="F211" s="1134"/>
      <c r="G211" s="1134"/>
      <c r="H211" s="1134"/>
    </row>
    <row r="212" spans="1:11">
      <c r="B212" s="1092" t="s">
        <v>3753</v>
      </c>
      <c r="C212" s="1092"/>
      <c r="D212" s="1092"/>
      <c r="E212" s="1092"/>
      <c r="F212" s="1092"/>
      <c r="G212" s="1092"/>
      <c r="H212" s="1092"/>
    </row>
    <row r="213" spans="1:11" ht="31.5">
      <c r="B213" s="70" t="s">
        <v>3340</v>
      </c>
      <c r="C213" s="70" t="s">
        <v>3341</v>
      </c>
      <c r="D213" s="70" t="s">
        <v>3342</v>
      </c>
      <c r="E213" s="70" t="s">
        <v>3343</v>
      </c>
      <c r="F213" s="70" t="s">
        <v>3344</v>
      </c>
      <c r="G213" s="70" t="s">
        <v>3345</v>
      </c>
      <c r="H213" s="70" t="s">
        <v>1704</v>
      </c>
    </row>
    <row r="214" spans="1:11" ht="26.25" customHeight="1">
      <c r="B214" s="66" t="s">
        <v>1705</v>
      </c>
      <c r="C214" s="66" t="s">
        <v>1706</v>
      </c>
      <c r="D214" s="269">
        <v>0.7</v>
      </c>
      <c r="E214" s="66" t="s">
        <v>1707</v>
      </c>
      <c r="F214" s="679">
        <f>'update Rate'!F4</f>
        <v>375</v>
      </c>
      <c r="G214" s="103">
        <f>FLOOR(D214*F214,0.01)</f>
        <v>262.5</v>
      </c>
      <c r="H214" s="103">
        <f>(G214)</f>
        <v>262.5</v>
      </c>
    </row>
    <row r="215" spans="1:11" ht="20.100000000000001" customHeight="1">
      <c r="B215" s="1069" t="s">
        <v>2330</v>
      </c>
      <c r="C215" s="57" t="s">
        <v>1508</v>
      </c>
      <c r="D215" s="50">
        <v>1.1000000000000001</v>
      </c>
      <c r="E215" s="57" t="s">
        <v>2530</v>
      </c>
      <c r="F215" s="685">
        <f>'update Rate'!F8</f>
        <v>1659.57</v>
      </c>
      <c r="G215" s="114">
        <f>FLOOR(F215*D215,0.01)</f>
        <v>1825.52</v>
      </c>
      <c r="H215" s="114"/>
    </row>
    <row r="216" spans="1:11" ht="20.100000000000001" customHeight="1">
      <c r="B216" s="1070"/>
      <c r="C216" s="58" t="s">
        <v>3749</v>
      </c>
      <c r="D216" s="45">
        <v>5</v>
      </c>
      <c r="E216" s="58" t="s">
        <v>3750</v>
      </c>
      <c r="F216" s="686">
        <f>'update Rate'!F508</f>
        <v>0.25</v>
      </c>
      <c r="G216" s="65">
        <f>FLOOR(D216*F216,0.01)</f>
        <v>1.25</v>
      </c>
      <c r="H216" s="65">
        <f>+G216+G215</f>
        <v>1826.77</v>
      </c>
    </row>
    <row r="217" spans="1:11" ht="20.100000000000001" customHeight="1">
      <c r="F217" s="42" t="s">
        <v>1708</v>
      </c>
      <c r="G217" s="680"/>
      <c r="H217" s="65">
        <f>SUM(H214:H216)</f>
        <v>2089.27</v>
      </c>
    </row>
    <row r="218" spans="1:11" ht="15.75">
      <c r="B218" s="1" t="s">
        <v>3658</v>
      </c>
      <c r="F218" s="42" t="s">
        <v>1689</v>
      </c>
      <c r="G218" s="678"/>
      <c r="H218" s="103">
        <f>FLOOR(H217*0.15,0.01)</f>
        <v>313.39</v>
      </c>
    </row>
    <row r="219" spans="1:11" ht="20.100000000000001" customHeight="1">
      <c r="A219" s="28" t="s">
        <v>3384</v>
      </c>
      <c r="B219" s="103">
        <f>+H219</f>
        <v>2402.66</v>
      </c>
      <c r="C219" s="1" t="s">
        <v>3385</v>
      </c>
      <c r="F219" s="42" t="s">
        <v>1711</v>
      </c>
      <c r="G219" s="678"/>
      <c r="H219" s="103">
        <f>SUM(H217:H218)</f>
        <v>2402.66</v>
      </c>
    </row>
    <row r="220" spans="1:11" ht="20.100000000000001" customHeight="1">
      <c r="A220" s="28"/>
      <c r="B220" s="151"/>
      <c r="F220" s="42"/>
      <c r="G220" s="678"/>
      <c r="H220" s="151"/>
    </row>
    <row r="221" spans="1:11" ht="20.100000000000001" customHeight="1">
      <c r="A221" s="28"/>
      <c r="B221" s="151"/>
      <c r="F221" s="42"/>
      <c r="G221" s="678"/>
      <c r="H221" s="151"/>
    </row>
    <row r="222" spans="1:11" ht="18">
      <c r="A222" s="282">
        <f>+A210+1</f>
        <v>16</v>
      </c>
      <c r="B222" s="1134" t="s">
        <v>3754</v>
      </c>
      <c r="C222" s="1134"/>
      <c r="D222" s="1134"/>
      <c r="E222" s="1134"/>
      <c r="F222" s="1134"/>
      <c r="G222" s="1134"/>
      <c r="H222" s="1134"/>
    </row>
    <row r="223" spans="1:11" ht="18">
      <c r="A223" s="688" t="s">
        <v>4371</v>
      </c>
      <c r="B223" s="1152" t="s">
        <v>3752</v>
      </c>
      <c r="C223" s="1134"/>
      <c r="D223" s="1134"/>
      <c r="E223" s="1134"/>
      <c r="F223" s="1134"/>
      <c r="G223" s="1134"/>
      <c r="H223" s="1134"/>
      <c r="K223" s="103">
        <v>1165.2300000000002</v>
      </c>
    </row>
    <row r="224" spans="1:11">
      <c r="B224" s="1092" t="s">
        <v>3753</v>
      </c>
      <c r="C224" s="1092"/>
      <c r="D224" s="1092"/>
      <c r="E224" s="1092"/>
      <c r="F224" s="1092"/>
      <c r="G224" s="1092"/>
      <c r="H224" s="1092"/>
    </row>
    <row r="225" spans="1:11" ht="31.5">
      <c r="B225" s="70" t="s">
        <v>3340</v>
      </c>
      <c r="C225" s="70" t="s">
        <v>3341</v>
      </c>
      <c r="D225" s="70" t="s">
        <v>3342</v>
      </c>
      <c r="E225" s="70" t="s">
        <v>3343</v>
      </c>
      <c r="F225" s="70" t="s">
        <v>3344</v>
      </c>
      <c r="G225" s="70" t="s">
        <v>3345</v>
      </c>
      <c r="H225" s="70" t="s">
        <v>1704</v>
      </c>
    </row>
    <row r="226" spans="1:11" ht="26.25" customHeight="1">
      <c r="B226" s="66" t="s">
        <v>1705</v>
      </c>
      <c r="C226" s="66" t="s">
        <v>1706</v>
      </c>
      <c r="D226" s="269">
        <v>0.75</v>
      </c>
      <c r="E226" s="66" t="s">
        <v>1707</v>
      </c>
      <c r="F226" s="679">
        <f>'update Rate'!F4</f>
        <v>375</v>
      </c>
      <c r="G226" s="103">
        <f>FLOOR(D226*F226,0.01)</f>
        <v>281.25</v>
      </c>
      <c r="H226" s="103">
        <f>(G226)</f>
        <v>281.25</v>
      </c>
    </row>
    <row r="227" spans="1:11" ht="20.100000000000001" customHeight="1">
      <c r="B227" s="68" t="s">
        <v>2330</v>
      </c>
      <c r="C227" s="66" t="s">
        <v>3961</v>
      </c>
      <c r="D227" s="692">
        <v>1.1000000000000001</v>
      </c>
      <c r="E227" s="66" t="s">
        <v>2530</v>
      </c>
      <c r="F227" s="850">
        <f>'update Rate'!F39</f>
        <v>1059.3000000000002</v>
      </c>
      <c r="G227" s="103">
        <f>FLOOR(F227*D227,0.01)</f>
        <v>1165.23</v>
      </c>
      <c r="H227" s="103">
        <f>(G227)</f>
        <v>1165.23</v>
      </c>
    </row>
    <row r="228" spans="1:11" ht="20.100000000000001" customHeight="1">
      <c r="F228" s="42" t="s">
        <v>1708</v>
      </c>
      <c r="G228" s="680"/>
      <c r="H228" s="65">
        <f>SUM(H226:H227)</f>
        <v>1446.48</v>
      </c>
    </row>
    <row r="229" spans="1:11" ht="15.75">
      <c r="B229" s="1" t="s">
        <v>3658</v>
      </c>
      <c r="F229" s="42" t="s">
        <v>1689</v>
      </c>
      <c r="G229" s="678"/>
      <c r="H229" s="103">
        <f>FLOOR(H228*0.15,0.01)</f>
        <v>216.97</v>
      </c>
    </row>
    <row r="230" spans="1:11" ht="20.100000000000001" customHeight="1">
      <c r="A230" s="28" t="s">
        <v>3384</v>
      </c>
      <c r="B230" s="103">
        <f>+H230</f>
        <v>1663.45</v>
      </c>
      <c r="C230" s="1" t="s">
        <v>3385</v>
      </c>
      <c r="F230" s="42" t="s">
        <v>1711</v>
      </c>
      <c r="G230" s="678"/>
      <c r="H230" s="103">
        <f>SUM(H228:H229)</f>
        <v>1663.45</v>
      </c>
    </row>
    <row r="231" spans="1:11" ht="21.75" customHeight="1"/>
    <row r="232" spans="1:11">
      <c r="K232" s="188"/>
    </row>
    <row r="233" spans="1:11" ht="18">
      <c r="A233" s="282">
        <f>+A222+1</f>
        <v>17</v>
      </c>
      <c r="B233" s="1134" t="s">
        <v>2768</v>
      </c>
      <c r="C233" s="1134"/>
      <c r="D233" s="1134"/>
      <c r="E233" s="1134"/>
      <c r="F233" s="1134"/>
      <c r="G233" s="1134"/>
      <c r="H233" s="1134"/>
    </row>
    <row r="234" spans="1:11" ht="15.75">
      <c r="A234" s="688" t="s">
        <v>4372</v>
      </c>
      <c r="B234" s="1092" t="s">
        <v>3560</v>
      </c>
      <c r="C234" s="1092"/>
      <c r="D234" s="1092"/>
      <c r="E234" s="1092"/>
      <c r="F234" s="1092"/>
      <c r="G234" s="1092"/>
      <c r="H234" s="1092"/>
    </row>
    <row r="235" spans="1:11" ht="34.5" customHeight="1">
      <c r="B235" s="70" t="s">
        <v>3340</v>
      </c>
      <c r="C235" s="70" t="s">
        <v>3341</v>
      </c>
      <c r="D235" s="70" t="s">
        <v>3342</v>
      </c>
      <c r="E235" s="70" t="s">
        <v>3343</v>
      </c>
      <c r="F235" s="70" t="s">
        <v>3344</v>
      </c>
      <c r="G235" s="70" t="s">
        <v>3345</v>
      </c>
      <c r="H235" s="70" t="s">
        <v>1704</v>
      </c>
    </row>
    <row r="236" spans="1:11" ht="20.100000000000001" customHeight="1">
      <c r="B236" s="70" t="s">
        <v>1705</v>
      </c>
      <c r="C236" s="70" t="s">
        <v>2506</v>
      </c>
      <c r="D236" s="105">
        <v>0.5</v>
      </c>
      <c r="E236" s="70" t="s">
        <v>2798</v>
      </c>
      <c r="F236" s="105">
        <f>'update Rate'!F6</f>
        <v>150</v>
      </c>
      <c r="G236" s="105">
        <f>FLOOR(D236*F236,0.01)</f>
        <v>75</v>
      </c>
      <c r="H236" s="103">
        <f>(G236)</f>
        <v>75</v>
      </c>
    </row>
    <row r="237" spans="1:11" ht="20.100000000000001" customHeight="1">
      <c r="B237" s="1" t="s">
        <v>799</v>
      </c>
      <c r="D237" s="118">
        <v>0.5</v>
      </c>
      <c r="F237" s="42" t="s">
        <v>1708</v>
      </c>
      <c r="G237" s="110"/>
      <c r="H237" s="96">
        <f>SUM(G236)</f>
        <v>75</v>
      </c>
    </row>
    <row r="238" spans="1:11" ht="15.75">
      <c r="B238" s="147">
        <f>H239</f>
        <v>86.25</v>
      </c>
      <c r="C238" s="28" t="s">
        <v>3384</v>
      </c>
      <c r="D238" s="103">
        <f>B238/B239</f>
        <v>17.25</v>
      </c>
      <c r="E238" s="1" t="s">
        <v>3385</v>
      </c>
      <c r="F238" s="42" t="s">
        <v>1689</v>
      </c>
      <c r="G238" s="110"/>
      <c r="H238" s="103">
        <f>FLOOR(H237*0.15,0.01)</f>
        <v>11.25</v>
      </c>
    </row>
    <row r="239" spans="1:11" ht="15.75">
      <c r="B239" s="241">
        <v>5</v>
      </c>
      <c r="F239" s="42" t="s">
        <v>1711</v>
      </c>
      <c r="G239" s="110"/>
      <c r="H239" s="103">
        <f>SUM(H237:H238)</f>
        <v>86.25</v>
      </c>
    </row>
    <row r="240" spans="1:11">
      <c r="B240" s="3" t="s">
        <v>800</v>
      </c>
    </row>
    <row r="241" spans="1:8">
      <c r="B241" s="151">
        <f>H239</f>
        <v>86.25</v>
      </c>
      <c r="C241" s="28" t="s">
        <v>3384</v>
      </c>
      <c r="D241" s="103">
        <f>B241*2</f>
        <v>172.5</v>
      </c>
      <c r="E241" s="1" t="s">
        <v>3385</v>
      </c>
    </row>
    <row r="242" spans="1:8">
      <c r="A242" s="110"/>
    </row>
    <row r="243" spans="1:8">
      <c r="A243" s="110" t="s">
        <v>2769</v>
      </c>
    </row>
    <row r="244" spans="1:8">
      <c r="A244" s="110"/>
    </row>
    <row r="245" spans="1:8" ht="20.100000000000001" customHeight="1">
      <c r="A245" s="282">
        <f>+A233+1</f>
        <v>18</v>
      </c>
      <c r="B245" s="1152" t="s">
        <v>3755</v>
      </c>
      <c r="C245" s="1134"/>
      <c r="D245" s="1134"/>
      <c r="E245" s="1134"/>
      <c r="F245" s="1134"/>
      <c r="G245" s="1134"/>
      <c r="H245" s="1134"/>
    </row>
    <row r="246" spans="1:8" ht="20.100000000000001" customHeight="1">
      <c r="A246" s="688" t="s">
        <v>3763</v>
      </c>
      <c r="B246" s="1092" t="s">
        <v>3756</v>
      </c>
      <c r="C246" s="1092"/>
      <c r="D246" s="1092"/>
      <c r="E246" s="1092"/>
      <c r="F246" s="1092"/>
      <c r="G246" s="1092"/>
      <c r="H246" s="1092"/>
    </row>
    <row r="247" spans="1:8" ht="30.75" customHeight="1">
      <c r="B247" s="70" t="s">
        <v>3340</v>
      </c>
      <c r="C247" s="70" t="s">
        <v>3341</v>
      </c>
      <c r="D247" s="70" t="s">
        <v>3342</v>
      </c>
      <c r="E247" s="70" t="s">
        <v>3343</v>
      </c>
      <c r="F247" s="70" t="s">
        <v>3344</v>
      </c>
      <c r="G247" s="70" t="s">
        <v>3345</v>
      </c>
      <c r="H247" s="70" t="s">
        <v>1704</v>
      </c>
    </row>
    <row r="248" spans="1:8" ht="33" customHeight="1">
      <c r="B248" s="70" t="s">
        <v>2119</v>
      </c>
      <c r="C248" s="693" t="s">
        <v>3757</v>
      </c>
      <c r="D248" s="267">
        <v>1.67</v>
      </c>
      <c r="E248" s="70" t="s">
        <v>2798</v>
      </c>
      <c r="F248" s="851">
        <f>'update Rate'!F504</f>
        <v>700</v>
      </c>
      <c r="G248" s="103">
        <f>FLOOR(D248*F248,0.01)</f>
        <v>1169</v>
      </c>
      <c r="H248" s="103">
        <f>(G248)</f>
        <v>1169</v>
      </c>
    </row>
    <row r="249" spans="1:8" ht="20.100000000000001" customHeight="1">
      <c r="F249" s="42" t="s">
        <v>1708</v>
      </c>
      <c r="G249" s="119"/>
      <c r="H249" s="103">
        <f>SUM(H248:H248)</f>
        <v>1169</v>
      </c>
    </row>
    <row r="250" spans="1:8" ht="20.100000000000001" customHeight="1">
      <c r="F250" s="42" t="s">
        <v>1689</v>
      </c>
      <c r="G250" s="119"/>
      <c r="H250" s="103">
        <f>FLOOR(H249*0.15,0.01)</f>
        <v>175.35</v>
      </c>
    </row>
    <row r="251" spans="1:8" ht="20.100000000000001" customHeight="1">
      <c r="B251" s="1" t="s">
        <v>3658</v>
      </c>
      <c r="F251" s="42" t="s">
        <v>1711</v>
      </c>
      <c r="G251" s="119"/>
      <c r="H251" s="103">
        <f>SUM(H249:H250)</f>
        <v>1344.35</v>
      </c>
    </row>
    <row r="252" spans="1:8" ht="20.100000000000001" customHeight="1">
      <c r="A252" s="28" t="s">
        <v>3384</v>
      </c>
      <c r="B252" s="103">
        <f>+H251/100</f>
        <v>13.443499999999998</v>
      </c>
      <c r="C252" s="1" t="s">
        <v>3385</v>
      </c>
    </row>
    <row r="253" spans="1:8" ht="20.100000000000001" customHeight="1">
      <c r="A253" s="28"/>
      <c r="B253" s="151"/>
    </row>
    <row r="254" spans="1:8" ht="20.100000000000001" customHeight="1">
      <c r="A254" s="28"/>
      <c r="B254" s="151"/>
    </row>
    <row r="255" spans="1:8" ht="18">
      <c r="A255" s="282">
        <f>+A245+1</f>
        <v>19</v>
      </c>
      <c r="B255" s="1152" t="s">
        <v>3758</v>
      </c>
      <c r="C255" s="1134"/>
      <c r="D255" s="1134"/>
      <c r="E255" s="1134"/>
      <c r="F255" s="1134"/>
      <c r="G255" s="1134"/>
      <c r="H255" s="1134"/>
    </row>
    <row r="256" spans="1:8" ht="15.75">
      <c r="A256" s="688" t="s">
        <v>3764</v>
      </c>
      <c r="B256" s="1092" t="s">
        <v>3759</v>
      </c>
      <c r="C256" s="1092"/>
      <c r="D256" s="1092"/>
      <c r="E256" s="1092"/>
      <c r="F256" s="1092"/>
      <c r="G256" s="1092"/>
      <c r="H256" s="1092"/>
    </row>
    <row r="258" spans="1:8" ht="31.5">
      <c r="B258" s="70" t="s">
        <v>3340</v>
      </c>
      <c r="C258" s="70" t="s">
        <v>3341</v>
      </c>
      <c r="D258" s="70" t="s">
        <v>3342</v>
      </c>
      <c r="E258" s="70" t="s">
        <v>3343</v>
      </c>
      <c r="F258" s="70" t="s">
        <v>3344</v>
      </c>
      <c r="G258" s="70" t="s">
        <v>3345</v>
      </c>
      <c r="H258" s="70" t="s">
        <v>1704</v>
      </c>
    </row>
    <row r="259" spans="1:8" ht="26.25" customHeight="1">
      <c r="B259" s="66" t="s">
        <v>1705</v>
      </c>
      <c r="C259" s="66" t="s">
        <v>1706</v>
      </c>
      <c r="D259" s="269">
        <v>53</v>
      </c>
      <c r="E259" s="66" t="s">
        <v>1707</v>
      </c>
      <c r="F259" s="679">
        <f>'update Rate'!F4</f>
        <v>375</v>
      </c>
      <c r="G259" s="103">
        <f>FLOOR(D259*F259,0.01)</f>
        <v>19875</v>
      </c>
      <c r="H259" s="103">
        <f>(G259)</f>
        <v>19875</v>
      </c>
    </row>
    <row r="260" spans="1:8" ht="34.5" customHeight="1">
      <c r="B260" s="70" t="s">
        <v>2119</v>
      </c>
      <c r="C260" s="693" t="s">
        <v>3760</v>
      </c>
      <c r="D260" s="852">
        <v>1.67</v>
      </c>
      <c r="E260" s="853" t="s">
        <v>2798</v>
      </c>
      <c r="F260" s="850">
        <f>'update Rate'!F505</f>
        <v>550</v>
      </c>
      <c r="G260" s="103">
        <f>FLOOR(F260*D260,0.01)</f>
        <v>918.5</v>
      </c>
      <c r="H260" s="103">
        <f>(G260)</f>
        <v>918.5</v>
      </c>
    </row>
    <row r="261" spans="1:8" ht="20.100000000000001" customHeight="1">
      <c r="F261" s="42" t="s">
        <v>1708</v>
      </c>
      <c r="G261" s="680"/>
      <c r="H261" s="65">
        <f>SUM(H259:H260)</f>
        <v>20793.5</v>
      </c>
    </row>
    <row r="262" spans="1:8" ht="15.75">
      <c r="B262" s="1" t="s">
        <v>3658</v>
      </c>
      <c r="F262" s="42" t="s">
        <v>1689</v>
      </c>
      <c r="G262" s="678"/>
      <c r="H262" s="103">
        <f>FLOOR(H261*0.15,0.01)</f>
        <v>3119.02</v>
      </c>
    </row>
    <row r="263" spans="1:8" ht="20.100000000000001" customHeight="1">
      <c r="A263" s="28" t="s">
        <v>3384</v>
      </c>
      <c r="B263" s="103">
        <f>+H263/100</f>
        <v>239.12520000000001</v>
      </c>
      <c r="C263" s="1" t="s">
        <v>3385</v>
      </c>
      <c r="F263" s="42" t="s">
        <v>1711</v>
      </c>
      <c r="G263" s="678"/>
      <c r="H263" s="103">
        <f>SUM(H261:H262)</f>
        <v>23912.52</v>
      </c>
    </row>
    <row r="264" spans="1:8" ht="20.100000000000001" customHeight="1">
      <c r="A264" s="28"/>
      <c r="B264" s="151"/>
      <c r="F264" s="42"/>
      <c r="G264" s="678"/>
      <c r="H264" s="151"/>
    </row>
    <row r="266" spans="1:8" ht="18">
      <c r="A266" s="282">
        <f>+A255+1</f>
        <v>20</v>
      </c>
      <c r="B266" s="1134" t="s">
        <v>4670</v>
      </c>
      <c r="C266" s="1134"/>
      <c r="D266" s="1134"/>
      <c r="E266" s="1134"/>
      <c r="F266" s="1134"/>
      <c r="G266" s="1134"/>
      <c r="H266" s="1134"/>
    </row>
    <row r="267" spans="1:8" ht="15.75">
      <c r="A267" s="688" t="s">
        <v>3765</v>
      </c>
      <c r="B267" s="1092" t="s">
        <v>3753</v>
      </c>
      <c r="C267" s="1092"/>
      <c r="D267" s="1092"/>
      <c r="E267" s="1092"/>
      <c r="F267" s="1092"/>
      <c r="G267" s="1092"/>
      <c r="H267" s="1092"/>
    </row>
    <row r="269" spans="1:8" ht="31.5">
      <c r="B269" s="70" t="s">
        <v>3340</v>
      </c>
      <c r="C269" s="70" t="s">
        <v>3341</v>
      </c>
      <c r="D269" s="70" t="s">
        <v>3342</v>
      </c>
      <c r="E269" s="70" t="s">
        <v>3343</v>
      </c>
      <c r="F269" s="70" t="s">
        <v>3344</v>
      </c>
      <c r="G269" s="70" t="s">
        <v>3345</v>
      </c>
      <c r="H269" s="70" t="s">
        <v>1704</v>
      </c>
    </row>
    <row r="270" spans="1:8" ht="26.25" customHeight="1">
      <c r="B270" s="66" t="s">
        <v>2330</v>
      </c>
      <c r="C270" s="66" t="s">
        <v>3761</v>
      </c>
      <c r="D270" s="269">
        <v>0.12479999999999999</v>
      </c>
      <c r="E270" s="66" t="s">
        <v>3750</v>
      </c>
      <c r="F270" s="850">
        <f>'update Rate'!F485</f>
        <v>98</v>
      </c>
      <c r="G270" s="103">
        <f>FLOOR(D270*F270,0.01)</f>
        <v>12.23</v>
      </c>
      <c r="H270" s="103">
        <f>(G270)</f>
        <v>12.23</v>
      </c>
    </row>
    <row r="271" spans="1:8" ht="34.5" customHeight="1">
      <c r="B271" s="70" t="s">
        <v>2119</v>
      </c>
      <c r="C271" s="70" t="s">
        <v>3762</v>
      </c>
      <c r="D271" s="694">
        <v>1.04E-2</v>
      </c>
      <c r="E271" s="68" t="s">
        <v>2798</v>
      </c>
      <c r="F271" s="850">
        <f>'update Rate'!F506</f>
        <v>1800</v>
      </c>
      <c r="G271" s="103">
        <f>FLOOR(D271*F271,0.01)</f>
        <v>18.72</v>
      </c>
      <c r="H271" s="103">
        <f>(G271)</f>
        <v>18.72</v>
      </c>
    </row>
    <row r="272" spans="1:8" ht="20.100000000000001" customHeight="1">
      <c r="F272" s="42" t="s">
        <v>1708</v>
      </c>
      <c r="G272" s="680"/>
      <c r="H272" s="65">
        <f>SUM(H270:H271)</f>
        <v>30.95</v>
      </c>
    </row>
    <row r="273" spans="1:8" ht="15.75">
      <c r="B273" s="1" t="s">
        <v>3658</v>
      </c>
      <c r="F273" s="42" t="s">
        <v>1689</v>
      </c>
      <c r="G273" s="678"/>
      <c r="H273" s="103">
        <f>FLOOR(H272*0.15,0.01)</f>
        <v>4.6399999999999997</v>
      </c>
    </row>
    <row r="274" spans="1:8" ht="20.100000000000001" customHeight="1">
      <c r="A274" s="28" t="s">
        <v>3384</v>
      </c>
      <c r="B274" s="103">
        <f>+H274/1</f>
        <v>35.589999999999996</v>
      </c>
      <c r="C274" s="1" t="s">
        <v>3385</v>
      </c>
      <c r="F274" s="42" t="s">
        <v>1711</v>
      </c>
      <c r="G274" s="678"/>
      <c r="H274" s="103">
        <f>SUM(H272:H273)</f>
        <v>35.589999999999996</v>
      </c>
    </row>
    <row r="275" spans="1:8" ht="20.100000000000001" customHeight="1">
      <c r="A275" s="28"/>
      <c r="B275" s="128"/>
      <c r="F275" s="42"/>
      <c r="G275" s="678"/>
      <c r="H275" s="151"/>
    </row>
    <row r="276" spans="1:8" ht="20.100000000000001" customHeight="1">
      <c r="A276" s="28"/>
      <c r="B276" s="151"/>
      <c r="F276" s="42"/>
      <c r="G276" s="678"/>
      <c r="H276" s="151"/>
    </row>
    <row r="277" spans="1:8" ht="18">
      <c r="A277" s="282">
        <f>+A266+1</f>
        <v>21</v>
      </c>
      <c r="B277" s="1134" t="s">
        <v>4671</v>
      </c>
      <c r="C277" s="1134"/>
      <c r="D277" s="1134"/>
      <c r="E277" s="1134"/>
      <c r="F277" s="1134"/>
      <c r="G277" s="1134"/>
      <c r="H277" s="1134"/>
    </row>
    <row r="278" spans="1:8" ht="15.75">
      <c r="A278" s="688" t="s">
        <v>3765</v>
      </c>
      <c r="B278" s="1092" t="s">
        <v>3753</v>
      </c>
      <c r="C278" s="1092"/>
      <c r="D278" s="1092"/>
      <c r="E278" s="1092"/>
      <c r="F278" s="1092"/>
      <c r="G278" s="1092"/>
      <c r="H278" s="1092"/>
    </row>
    <row r="279" spans="1:8" ht="1.5" customHeight="1"/>
    <row r="280" spans="1:8" ht="31.5">
      <c r="B280" s="70" t="s">
        <v>3340</v>
      </c>
      <c r="C280" s="70" t="s">
        <v>3341</v>
      </c>
      <c r="D280" s="70" t="s">
        <v>3342</v>
      </c>
      <c r="E280" s="70" t="s">
        <v>3343</v>
      </c>
      <c r="F280" s="70" t="s">
        <v>3344</v>
      </c>
      <c r="G280" s="70" t="s">
        <v>3345</v>
      </c>
      <c r="H280" s="70" t="s">
        <v>1704</v>
      </c>
    </row>
    <row r="281" spans="1:8" ht="26.25" customHeight="1">
      <c r="B281" s="66" t="s">
        <v>2330</v>
      </c>
      <c r="C281" s="66" t="s">
        <v>3761</v>
      </c>
      <c r="D281" s="269">
        <v>0.15</v>
      </c>
      <c r="E281" s="66" t="s">
        <v>3750</v>
      </c>
      <c r="F281" s="850">
        <f>'update Rate'!F485</f>
        <v>98</v>
      </c>
      <c r="G281" s="103">
        <f>FLOOR(D281*F281,0.01)</f>
        <v>14.700000000000001</v>
      </c>
      <c r="H281" s="103">
        <f>(G281)</f>
        <v>14.700000000000001</v>
      </c>
    </row>
    <row r="282" spans="1:8" ht="34.5" customHeight="1">
      <c r="B282" s="70" t="s">
        <v>2119</v>
      </c>
      <c r="C282" s="70" t="s">
        <v>3762</v>
      </c>
      <c r="D282" s="694">
        <v>1.2500000000000001E-2</v>
      </c>
      <c r="E282" s="68" t="s">
        <v>2798</v>
      </c>
      <c r="F282" s="850">
        <f>'update Rate'!F506</f>
        <v>1800</v>
      </c>
      <c r="G282" s="103">
        <f>FLOOR(D282*F282,0.01)</f>
        <v>22.5</v>
      </c>
      <c r="H282" s="103">
        <f>(G282)</f>
        <v>22.5</v>
      </c>
    </row>
    <row r="283" spans="1:8" ht="20.100000000000001" customHeight="1">
      <c r="F283" s="42" t="s">
        <v>1708</v>
      </c>
      <c r="G283" s="680"/>
      <c r="H283" s="65">
        <f>SUM(H281:H282)</f>
        <v>37.200000000000003</v>
      </c>
    </row>
    <row r="284" spans="1:8" ht="15.75">
      <c r="B284" s="1" t="s">
        <v>3658</v>
      </c>
      <c r="F284" s="42" t="s">
        <v>1689</v>
      </c>
      <c r="G284" s="678"/>
      <c r="H284" s="103">
        <f>FLOOR(H283*0.15,0.01)</f>
        <v>5.58</v>
      </c>
    </row>
    <row r="285" spans="1:8" ht="20.100000000000001" customHeight="1">
      <c r="A285" s="28" t="s">
        <v>3384</v>
      </c>
      <c r="B285" s="103">
        <f>+H285/1</f>
        <v>42.78</v>
      </c>
      <c r="C285" s="1" t="s">
        <v>3385</v>
      </c>
      <c r="F285" s="42" t="s">
        <v>1711</v>
      </c>
      <c r="G285" s="678"/>
      <c r="H285" s="103">
        <f>SUM(H283:H284)</f>
        <v>42.78</v>
      </c>
    </row>
    <row r="286" spans="1:8" ht="20.100000000000001" customHeight="1">
      <c r="A286" s="28"/>
      <c r="B286" s="128"/>
      <c r="F286" s="42"/>
      <c r="G286" s="678"/>
      <c r="H286" s="151"/>
    </row>
    <row r="287" spans="1:8" ht="18.75" customHeight="1">
      <c r="A287" s="282">
        <f>+A277+1</f>
        <v>22</v>
      </c>
      <c r="B287" s="1076" t="s">
        <v>1536</v>
      </c>
      <c r="C287" s="1089"/>
      <c r="D287" s="1089"/>
      <c r="E287" s="1089"/>
      <c r="F287" s="1089"/>
      <c r="G287" s="1089"/>
      <c r="H287" s="1089"/>
    </row>
    <row r="288" spans="1:8" ht="19.5">
      <c r="A288" s="688" t="s">
        <v>4373</v>
      </c>
      <c r="B288" s="1076" t="s">
        <v>608</v>
      </c>
      <c r="C288" s="1089"/>
      <c r="D288" s="1089"/>
      <c r="E288" s="1089"/>
      <c r="F288" s="1089"/>
      <c r="G288" s="1089"/>
      <c r="H288" s="1089"/>
    </row>
    <row r="289" spans="1:8" ht="19.5">
      <c r="A289" s="695"/>
      <c r="B289" s="1077" t="s">
        <v>609</v>
      </c>
      <c r="C289" s="1089"/>
      <c r="D289" s="1089"/>
      <c r="E289" s="1089"/>
      <c r="F289" s="1089"/>
      <c r="G289" s="1089"/>
      <c r="H289" s="1089"/>
    </row>
    <row r="290" spans="1:8">
      <c r="B290" s="1083" t="s">
        <v>2529</v>
      </c>
      <c r="C290" s="1083"/>
      <c r="D290" s="1083"/>
      <c r="E290" s="1083"/>
      <c r="F290" s="1083"/>
      <c r="G290" s="1083"/>
      <c r="H290" s="1083"/>
    </row>
    <row r="291" spans="1:8" ht="31.5">
      <c r="B291" s="70" t="s">
        <v>3340</v>
      </c>
      <c r="C291" s="70" t="s">
        <v>3341</v>
      </c>
      <c r="D291" s="70" t="s">
        <v>3342</v>
      </c>
      <c r="E291" s="70" t="s">
        <v>3343</v>
      </c>
      <c r="F291" s="70" t="s">
        <v>3344</v>
      </c>
      <c r="G291" s="669" t="s">
        <v>3345</v>
      </c>
      <c r="H291" s="70" t="s">
        <v>1704</v>
      </c>
    </row>
    <row r="292" spans="1:8" ht="17.25">
      <c r="B292" s="1067" t="s">
        <v>1705</v>
      </c>
      <c r="C292" s="669" t="s">
        <v>610</v>
      </c>
      <c r="D292" s="43">
        <v>1.5</v>
      </c>
      <c r="E292" s="57" t="s">
        <v>1707</v>
      </c>
      <c r="F292" s="193">
        <f>'update Rate'!F5</f>
        <v>525</v>
      </c>
      <c r="G292" s="114">
        <f>FLOOR(D292*F292,0.01)</f>
        <v>787.5</v>
      </c>
      <c r="H292" s="197"/>
    </row>
    <row r="293" spans="1:8" ht="17.25">
      <c r="B293" s="1095"/>
      <c r="C293" s="55" t="s">
        <v>1647</v>
      </c>
      <c r="D293" s="44">
        <v>2.2000000000000002</v>
      </c>
      <c r="E293" s="55" t="s">
        <v>1707</v>
      </c>
      <c r="F293" s="194">
        <f>'update Rate'!F4</f>
        <v>375</v>
      </c>
      <c r="G293" s="113">
        <f>FLOOR(D293*F293,0.01)</f>
        <v>825</v>
      </c>
      <c r="H293" s="156"/>
    </row>
    <row r="294" spans="1:8" ht="17.25">
      <c r="B294" s="1070"/>
      <c r="C294" s="58" t="s">
        <v>1648</v>
      </c>
      <c r="D294" s="45">
        <v>0.2</v>
      </c>
      <c r="E294" s="58" t="s">
        <v>1707</v>
      </c>
      <c r="F294" s="194">
        <f>'update Rate'!F4</f>
        <v>375</v>
      </c>
      <c r="G294" s="65">
        <f>FLOOR(D294*F294,0.01)</f>
        <v>75</v>
      </c>
      <c r="H294" s="198">
        <f>SUM(G292:G294)</f>
        <v>1687.5</v>
      </c>
    </row>
    <row r="295" spans="1:8" ht="20.100000000000001" customHeight="1">
      <c r="B295" s="1069" t="s">
        <v>2330</v>
      </c>
      <c r="C295" s="57" t="s">
        <v>1649</v>
      </c>
      <c r="D295" s="47">
        <v>530</v>
      </c>
      <c r="E295" s="57" t="s">
        <v>803</v>
      </c>
      <c r="F295" s="195">
        <f>'update Rate'!F11</f>
        <v>8.5</v>
      </c>
      <c r="G295" s="114">
        <f>FLOOR(D295*F295,0.01)</f>
        <v>4505</v>
      </c>
      <c r="H295" s="129"/>
    </row>
    <row r="296" spans="1:8" ht="20.100000000000001" customHeight="1">
      <c r="B296" s="1095"/>
      <c r="C296" s="55" t="s">
        <v>1650</v>
      </c>
      <c r="D296" s="44">
        <v>0.13</v>
      </c>
      <c r="E296" s="55" t="s">
        <v>804</v>
      </c>
      <c r="F296" s="194">
        <f>'update Rate'!F15</f>
        <v>14200</v>
      </c>
      <c r="G296" s="113">
        <f t="shared" ref="G296:G298" si="0">FLOOR(D296*F296,0.01)</f>
        <v>1846</v>
      </c>
      <c r="H296" s="156"/>
    </row>
    <row r="297" spans="1:8" ht="20.100000000000001" customHeight="1">
      <c r="B297" s="1095"/>
      <c r="C297" s="55" t="s">
        <v>1640</v>
      </c>
      <c r="D297" s="44">
        <v>0.27</v>
      </c>
      <c r="E297" s="55" t="s">
        <v>2530</v>
      </c>
      <c r="F297" s="194">
        <f>'update Rate'!F8</f>
        <v>1659.57</v>
      </c>
      <c r="G297" s="113">
        <f t="shared" si="0"/>
        <v>448.08</v>
      </c>
      <c r="H297" s="156"/>
    </row>
    <row r="298" spans="1:8" ht="20.100000000000001" customHeight="1">
      <c r="B298" s="1095"/>
      <c r="C298" s="58" t="s">
        <v>3749</v>
      </c>
      <c r="D298" s="45">
        <v>150</v>
      </c>
      <c r="E298" s="55" t="s">
        <v>3750</v>
      </c>
      <c r="F298" s="196">
        <f>'update Rate'!F508</f>
        <v>0.25</v>
      </c>
      <c r="G298" s="65">
        <f t="shared" si="0"/>
        <v>37.5</v>
      </c>
      <c r="H298" s="199">
        <f>SUM(G295:G298)</f>
        <v>6836.58</v>
      </c>
    </row>
    <row r="299" spans="1:8" ht="20.100000000000001" customHeight="1">
      <c r="B299" s="64"/>
      <c r="C299" s="66" t="s">
        <v>802</v>
      </c>
      <c r="D299" s="97" t="s">
        <v>3655</v>
      </c>
      <c r="E299" s="13"/>
      <c r="F299" s="13"/>
      <c r="G299" s="200"/>
      <c r="H299" s="113">
        <f>SUM(G294*3%)</f>
        <v>2.25</v>
      </c>
    </row>
    <row r="300" spans="1:8" ht="20.100000000000001" customHeight="1">
      <c r="F300" s="42" t="s">
        <v>1708</v>
      </c>
      <c r="G300" s="122"/>
      <c r="H300" s="103">
        <f>SUM(H294:H299)</f>
        <v>8526.33</v>
      </c>
    </row>
    <row r="301" spans="1:8" ht="15.75">
      <c r="B301" s="1" t="s">
        <v>3658</v>
      </c>
      <c r="F301" s="42" t="s">
        <v>1689</v>
      </c>
      <c r="G301" s="69"/>
      <c r="H301" s="103">
        <f>FLOOR(H300*0.15,0.01)</f>
        <v>1278.94</v>
      </c>
    </row>
    <row r="302" spans="1:8" ht="20.100000000000001" customHeight="1">
      <c r="A302" s="28" t="s">
        <v>3384</v>
      </c>
      <c r="B302" s="103">
        <f>+H302</f>
        <v>9805.27</v>
      </c>
      <c r="C302" s="1" t="s">
        <v>3385</v>
      </c>
      <c r="F302" s="42" t="s">
        <v>1711</v>
      </c>
      <c r="G302" s="69"/>
      <c r="H302" s="103">
        <f>SUM(H300:H301)</f>
        <v>9805.27</v>
      </c>
    </row>
    <row r="314" spans="1:8" ht="19.5">
      <c r="A314" s="282">
        <f>+A287+1</f>
        <v>23</v>
      </c>
      <c r="B314" s="1089" t="s">
        <v>1104</v>
      </c>
      <c r="C314" s="1089"/>
      <c r="D314" s="1089"/>
      <c r="E314" s="1089"/>
      <c r="F314" s="1089"/>
      <c r="G314" s="1089"/>
      <c r="H314" s="1089"/>
    </row>
    <row r="315" spans="1:8" ht="19.5">
      <c r="A315" s="688" t="s">
        <v>4373</v>
      </c>
      <c r="B315" s="1076" t="s">
        <v>443</v>
      </c>
      <c r="C315" s="1089"/>
      <c r="D315" s="1089"/>
      <c r="E315" s="1089"/>
      <c r="F315" s="1089"/>
      <c r="G315" s="1089"/>
      <c r="H315" s="1089"/>
    </row>
    <row r="316" spans="1:8" ht="19.5">
      <c r="A316" s="695"/>
      <c r="B316" s="1077" t="s">
        <v>2507</v>
      </c>
      <c r="C316" s="1089"/>
      <c r="D316" s="1089"/>
      <c r="E316" s="1089"/>
      <c r="F316" s="1089"/>
      <c r="G316" s="1089"/>
      <c r="H316" s="1089"/>
    </row>
    <row r="317" spans="1:8">
      <c r="B317" s="1092" t="s">
        <v>2529</v>
      </c>
      <c r="C317" s="1092"/>
      <c r="D317" s="1092"/>
      <c r="E317" s="1092"/>
      <c r="F317" s="1092"/>
      <c r="G317" s="1092"/>
      <c r="H317" s="1092"/>
    </row>
    <row r="318" spans="1:8" ht="31.5">
      <c r="B318" s="70" t="s">
        <v>3340</v>
      </c>
      <c r="C318" s="70" t="s">
        <v>3341</v>
      </c>
      <c r="D318" s="70" t="s">
        <v>3342</v>
      </c>
      <c r="E318" s="70" t="s">
        <v>3343</v>
      </c>
      <c r="F318" s="70" t="s">
        <v>3344</v>
      </c>
      <c r="G318" s="70" t="s">
        <v>3345</v>
      </c>
      <c r="H318" s="70" t="s">
        <v>1704</v>
      </c>
    </row>
    <row r="319" spans="1:8" ht="17.25">
      <c r="B319" s="1069" t="s">
        <v>1705</v>
      </c>
      <c r="C319" s="60" t="s">
        <v>610</v>
      </c>
      <c r="D319" s="43">
        <v>1.5</v>
      </c>
      <c r="E319" s="57" t="s">
        <v>1707</v>
      </c>
      <c r="F319" s="111">
        <f>'update Rate'!F5</f>
        <v>525</v>
      </c>
      <c r="G319" s="114">
        <f t="shared" ref="G319:G325" si="1">FLOOR(D319*F319,0.01)</f>
        <v>787.5</v>
      </c>
      <c r="H319" s="112"/>
    </row>
    <row r="320" spans="1:8" ht="20.100000000000001" customHeight="1">
      <c r="B320" s="1095"/>
      <c r="C320" s="55" t="s">
        <v>1647</v>
      </c>
      <c r="D320" s="44">
        <v>2.2000000000000002</v>
      </c>
      <c r="E320" s="55" t="s">
        <v>1707</v>
      </c>
      <c r="F320" s="113">
        <f>'update Rate'!F4</f>
        <v>375</v>
      </c>
      <c r="G320" s="113">
        <f t="shared" si="1"/>
        <v>825</v>
      </c>
      <c r="H320" s="9"/>
    </row>
    <row r="321" spans="1:8" ht="20.100000000000001" customHeight="1">
      <c r="B321" s="1070"/>
      <c r="C321" s="58" t="s">
        <v>1648</v>
      </c>
      <c r="D321" s="45">
        <v>0.7</v>
      </c>
      <c r="E321" s="58" t="s">
        <v>1707</v>
      </c>
      <c r="F321" s="65">
        <f>'update Rate'!F4</f>
        <v>375</v>
      </c>
      <c r="G321" s="65">
        <f t="shared" si="1"/>
        <v>262.5</v>
      </c>
      <c r="H321" s="127">
        <f>SUM(G319+G320+G321)</f>
        <v>1875</v>
      </c>
    </row>
    <row r="322" spans="1:8" ht="20.100000000000001" customHeight="1">
      <c r="B322" s="1069" t="s">
        <v>2330</v>
      </c>
      <c r="C322" s="57" t="s">
        <v>1649</v>
      </c>
      <c r="D322" s="47">
        <v>530</v>
      </c>
      <c r="E322" s="57" t="s">
        <v>803</v>
      </c>
      <c r="F322" s="114">
        <f>'update Rate'!F11</f>
        <v>8.5</v>
      </c>
      <c r="G322" s="114">
        <f t="shared" si="1"/>
        <v>4505</v>
      </c>
      <c r="H322" s="114"/>
    </row>
    <row r="323" spans="1:8" ht="20.100000000000001" customHeight="1">
      <c r="B323" s="1095"/>
      <c r="C323" s="55" t="s">
        <v>1650</v>
      </c>
      <c r="D323" s="44">
        <v>0.13</v>
      </c>
      <c r="E323" s="55" t="s">
        <v>804</v>
      </c>
      <c r="F323" s="113">
        <f>'update Rate'!F15</f>
        <v>14200</v>
      </c>
      <c r="G323" s="113">
        <f t="shared" si="1"/>
        <v>1846</v>
      </c>
      <c r="H323" s="9"/>
    </row>
    <row r="324" spans="1:8" ht="20.100000000000001" customHeight="1">
      <c r="B324" s="1095"/>
      <c r="C324" s="55" t="s">
        <v>801</v>
      </c>
      <c r="D324" s="44">
        <v>0.27</v>
      </c>
      <c r="E324" s="55" t="s">
        <v>2530</v>
      </c>
      <c r="F324" s="113">
        <f>'update Rate'!F8</f>
        <v>1659.57</v>
      </c>
      <c r="G324" s="113">
        <f t="shared" si="1"/>
        <v>448.08</v>
      </c>
      <c r="H324" s="9"/>
    </row>
    <row r="325" spans="1:8" ht="20.100000000000001" customHeight="1">
      <c r="B325" s="1095"/>
      <c r="C325" s="58" t="s">
        <v>3749</v>
      </c>
      <c r="D325" s="45">
        <v>150</v>
      </c>
      <c r="E325" s="58" t="s">
        <v>3750</v>
      </c>
      <c r="F325" s="65">
        <f>'update Rate'!F508</f>
        <v>0.25</v>
      </c>
      <c r="G325" s="65">
        <f t="shared" si="1"/>
        <v>37.5</v>
      </c>
      <c r="H325" s="65">
        <f>SUM(G322:G325)</f>
        <v>6836.58</v>
      </c>
    </row>
    <row r="326" spans="1:8" ht="20.100000000000001" customHeight="1">
      <c r="B326" s="64"/>
      <c r="C326" s="66" t="s">
        <v>802</v>
      </c>
      <c r="D326" s="97" t="s">
        <v>3655</v>
      </c>
      <c r="E326" s="98"/>
      <c r="F326" s="98"/>
      <c r="G326" s="124"/>
      <c r="H326" s="65">
        <f>INT(G321*0.03*100)/100</f>
        <v>7.87</v>
      </c>
    </row>
    <row r="327" spans="1:8" ht="20.100000000000001" customHeight="1">
      <c r="F327" s="42" t="s">
        <v>1708</v>
      </c>
      <c r="G327" s="123"/>
      <c r="H327" s="103">
        <f>SUM(H321:H326)</f>
        <v>8719.4500000000007</v>
      </c>
    </row>
    <row r="328" spans="1:8" ht="20.100000000000001" customHeight="1">
      <c r="B328" s="1" t="s">
        <v>3658</v>
      </c>
      <c r="F328" s="42" t="s">
        <v>1689</v>
      </c>
      <c r="G328" s="121"/>
      <c r="H328" s="103">
        <f>FLOOR(H327*0.15,0.01)</f>
        <v>1307.9100000000001</v>
      </c>
    </row>
    <row r="329" spans="1:8" ht="20.100000000000001" customHeight="1">
      <c r="A329" s="28" t="s">
        <v>3384</v>
      </c>
      <c r="B329" s="103">
        <f>+H329</f>
        <v>10027.36</v>
      </c>
      <c r="C329" s="1" t="s">
        <v>3385</v>
      </c>
      <c r="F329" s="42" t="s">
        <v>1711</v>
      </c>
      <c r="G329" s="121"/>
      <c r="H329" s="103">
        <f>SUM(H327:H328)</f>
        <v>10027.36</v>
      </c>
    </row>
    <row r="330" spans="1:8" ht="20.100000000000001" customHeight="1"/>
    <row r="332" spans="1:8" ht="19.5">
      <c r="A332" s="282">
        <f>+A314+1</f>
        <v>24</v>
      </c>
      <c r="B332" s="1089" t="s">
        <v>806</v>
      </c>
      <c r="C332" s="1089"/>
      <c r="D332" s="1089"/>
      <c r="E332" s="1089"/>
      <c r="F332" s="1089"/>
      <c r="G332" s="1089"/>
      <c r="H332" s="1089"/>
    </row>
    <row r="333" spans="1:8" ht="19.5">
      <c r="A333" s="688" t="s">
        <v>4373</v>
      </c>
      <c r="B333" s="1089" t="s">
        <v>2508</v>
      </c>
      <c r="C333" s="1089"/>
      <c r="D333" s="1089"/>
      <c r="E333" s="1089"/>
      <c r="F333" s="1089"/>
      <c r="G333" s="1089"/>
      <c r="H333" s="1089"/>
    </row>
    <row r="334" spans="1:8" ht="19.5">
      <c r="A334" s="695"/>
      <c r="B334" s="1089" t="s">
        <v>2509</v>
      </c>
      <c r="C334" s="1089"/>
      <c r="D334" s="1089"/>
      <c r="E334" s="1089"/>
      <c r="F334" s="1089"/>
      <c r="G334" s="1089"/>
      <c r="H334" s="1089"/>
    </row>
    <row r="335" spans="1:8">
      <c r="B335" s="1092" t="s">
        <v>2529</v>
      </c>
      <c r="C335" s="1092"/>
      <c r="D335" s="1092"/>
      <c r="E335" s="1092"/>
      <c r="F335" s="1092"/>
      <c r="G335" s="1092"/>
      <c r="H335" s="1092"/>
    </row>
    <row r="336" spans="1:8" ht="31.5">
      <c r="B336" s="70" t="s">
        <v>3340</v>
      </c>
      <c r="C336" s="70" t="s">
        <v>3341</v>
      </c>
      <c r="D336" s="70" t="s">
        <v>3342</v>
      </c>
      <c r="E336" s="70" t="s">
        <v>3343</v>
      </c>
      <c r="F336" s="70" t="s">
        <v>3344</v>
      </c>
      <c r="G336" s="70" t="s">
        <v>3345</v>
      </c>
      <c r="H336" s="70" t="s">
        <v>1704</v>
      </c>
    </row>
    <row r="337" spans="1:8" ht="17.25">
      <c r="B337" s="1069" t="s">
        <v>1705</v>
      </c>
      <c r="C337" s="60" t="s">
        <v>610</v>
      </c>
      <c r="D337" s="43">
        <v>1.5</v>
      </c>
      <c r="E337" s="57" t="s">
        <v>1707</v>
      </c>
      <c r="F337" s="111">
        <f>'update Rate'!F5</f>
        <v>525</v>
      </c>
      <c r="G337" s="114">
        <f t="shared" ref="G337:G343" si="2">FLOOR(D337*F337,0.01)</f>
        <v>787.5</v>
      </c>
      <c r="H337" s="111"/>
    </row>
    <row r="338" spans="1:8" ht="17.25">
      <c r="B338" s="1095"/>
      <c r="C338" s="55" t="s">
        <v>1647</v>
      </c>
      <c r="D338" s="44">
        <v>2.2000000000000002</v>
      </c>
      <c r="E338" s="55" t="s">
        <v>1707</v>
      </c>
      <c r="F338" s="113">
        <f>'update Rate'!F4</f>
        <v>375</v>
      </c>
      <c r="G338" s="113">
        <f t="shared" si="2"/>
        <v>825</v>
      </c>
      <c r="H338" s="9"/>
    </row>
    <row r="339" spans="1:8" ht="17.25">
      <c r="B339" s="1070"/>
      <c r="C339" s="58" t="s">
        <v>1648</v>
      </c>
      <c r="D339" s="45">
        <v>0.2</v>
      </c>
      <c r="E339" s="58" t="s">
        <v>1707</v>
      </c>
      <c r="F339" s="65">
        <f>'update Rate'!F4</f>
        <v>375</v>
      </c>
      <c r="G339" s="65">
        <f t="shared" si="2"/>
        <v>75</v>
      </c>
      <c r="H339" s="126">
        <f>SUM(G337+G338+G339)</f>
        <v>1687.5</v>
      </c>
    </row>
    <row r="340" spans="1:8" ht="20.100000000000001" customHeight="1">
      <c r="B340" s="76"/>
      <c r="C340" s="57" t="s">
        <v>1649</v>
      </c>
      <c r="D340" s="47">
        <v>530</v>
      </c>
      <c r="E340" s="57" t="s">
        <v>803</v>
      </c>
      <c r="F340" s="114">
        <f>'update Rate'!F11</f>
        <v>8.5</v>
      </c>
      <c r="G340" s="114">
        <f t="shared" si="2"/>
        <v>4505</v>
      </c>
      <c r="H340" s="114"/>
    </row>
    <row r="341" spans="1:8" ht="20.100000000000001" customHeight="1">
      <c r="B341" s="55" t="s">
        <v>2330</v>
      </c>
      <c r="C341" s="55" t="s">
        <v>1650</v>
      </c>
      <c r="D341" s="44">
        <v>0.1</v>
      </c>
      <c r="E341" s="55" t="s">
        <v>804</v>
      </c>
      <c r="F341" s="113">
        <f>'update Rate'!F15</f>
        <v>14200</v>
      </c>
      <c r="G341" s="113">
        <f t="shared" si="2"/>
        <v>1420</v>
      </c>
      <c r="H341" s="9"/>
    </row>
    <row r="342" spans="1:8" ht="20.100000000000001" customHeight="1">
      <c r="B342" s="55"/>
      <c r="C342" s="55" t="s">
        <v>801</v>
      </c>
      <c r="D342" s="44">
        <v>0.27</v>
      </c>
      <c r="E342" s="55" t="s">
        <v>2530</v>
      </c>
      <c r="F342" s="113">
        <f>'update Rate'!F8</f>
        <v>1659.57</v>
      </c>
      <c r="G342" s="113">
        <f t="shared" si="2"/>
        <v>448.08</v>
      </c>
      <c r="H342" s="9"/>
    </row>
    <row r="343" spans="1:8" ht="20.100000000000001" customHeight="1">
      <c r="B343" s="75"/>
      <c r="C343" s="58" t="s">
        <v>3749</v>
      </c>
      <c r="D343" s="45">
        <v>120</v>
      </c>
      <c r="E343" s="58" t="s">
        <v>3750</v>
      </c>
      <c r="F343" s="65">
        <f>'update Rate'!F508</f>
        <v>0.25</v>
      </c>
      <c r="G343" s="65">
        <f t="shared" si="2"/>
        <v>30</v>
      </c>
      <c r="H343" s="65">
        <f>SUM(G340:G343)</f>
        <v>6403.08</v>
      </c>
    </row>
    <row r="344" spans="1:8" ht="20.100000000000001" customHeight="1">
      <c r="B344" s="64"/>
      <c r="C344" s="162" t="s">
        <v>802</v>
      </c>
      <c r="D344" s="98" t="s">
        <v>3655</v>
      </c>
      <c r="E344" s="98"/>
      <c r="F344" s="98"/>
      <c r="G344" s="163"/>
      <c r="H344" s="115">
        <f>INT(G339*0.03*100)/100</f>
        <v>2.25</v>
      </c>
    </row>
    <row r="345" spans="1:8" ht="20.100000000000001" customHeight="1">
      <c r="F345" s="42" t="s">
        <v>1708</v>
      </c>
      <c r="G345" s="42"/>
      <c r="H345" s="103">
        <f>SUM(H339:H344)</f>
        <v>8092.83</v>
      </c>
    </row>
    <row r="346" spans="1:8" ht="15.75">
      <c r="B346" s="1" t="s">
        <v>3658</v>
      </c>
      <c r="F346" s="42" t="s">
        <v>1689</v>
      </c>
      <c r="G346" s="42"/>
      <c r="H346" s="103">
        <f>FLOOR(H345*0.15,0.01)</f>
        <v>1213.92</v>
      </c>
    </row>
    <row r="347" spans="1:8" ht="20.100000000000001" customHeight="1">
      <c r="A347" s="28" t="s">
        <v>3384</v>
      </c>
      <c r="B347" s="103">
        <f>+H347</f>
        <v>9306.75</v>
      </c>
      <c r="C347" s="1" t="s">
        <v>3385</v>
      </c>
      <c r="F347" s="42" t="s">
        <v>1711</v>
      </c>
      <c r="G347" s="42"/>
      <c r="H347" s="103">
        <f>SUM(H345:H346)</f>
        <v>9306.75</v>
      </c>
    </row>
    <row r="348" spans="1:8" ht="20.100000000000001" customHeight="1">
      <c r="A348" s="28"/>
      <c r="B348" s="151"/>
      <c r="F348" s="42"/>
      <c r="G348" s="42"/>
      <c r="H348" s="151"/>
    </row>
    <row r="349" spans="1:8" ht="20.100000000000001" customHeight="1">
      <c r="A349" s="28"/>
      <c r="B349" s="151"/>
      <c r="F349" s="42"/>
      <c r="G349" s="42"/>
      <c r="H349" s="151"/>
    </row>
    <row r="350" spans="1:8" ht="20.100000000000001" customHeight="1">
      <c r="A350" s="28"/>
      <c r="B350" s="151"/>
      <c r="F350" s="42"/>
      <c r="G350" s="42"/>
      <c r="H350" s="151"/>
    </row>
    <row r="351" spans="1:8" ht="20.100000000000001" customHeight="1">
      <c r="A351" s="28"/>
      <c r="B351" s="151"/>
      <c r="F351" s="42"/>
      <c r="G351" s="42"/>
      <c r="H351" s="151"/>
    </row>
    <row r="352" spans="1:8" ht="20.100000000000001" customHeight="1">
      <c r="A352" s="28"/>
      <c r="B352" s="151"/>
      <c r="F352" s="42"/>
      <c r="G352" s="42"/>
      <c r="H352" s="151"/>
    </row>
    <row r="353" spans="1:8" ht="20.100000000000001" customHeight="1">
      <c r="A353" s="28"/>
      <c r="B353" s="151"/>
      <c r="F353" s="42"/>
      <c r="G353" s="42"/>
      <c r="H353" s="151"/>
    </row>
    <row r="354" spans="1:8" ht="20.100000000000001" customHeight="1">
      <c r="A354" s="28"/>
      <c r="B354" s="151"/>
      <c r="F354" s="42"/>
      <c r="G354" s="42"/>
      <c r="H354" s="151"/>
    </row>
    <row r="357" spans="1:8" ht="19.5">
      <c r="A357" s="282">
        <f>+A332+1</f>
        <v>25</v>
      </c>
      <c r="B357" s="1089" t="s">
        <v>1644</v>
      </c>
      <c r="C357" s="1089"/>
      <c r="D357" s="1089"/>
      <c r="E357" s="1089"/>
      <c r="F357" s="1089"/>
      <c r="G357" s="1089"/>
      <c r="H357" s="1089"/>
    </row>
    <row r="358" spans="1:8" ht="19.5">
      <c r="A358" s="688" t="s">
        <v>4373</v>
      </c>
      <c r="B358" s="1089" t="s">
        <v>2508</v>
      </c>
      <c r="C358" s="1089"/>
      <c r="D358" s="1089"/>
      <c r="E358" s="1089"/>
      <c r="F358" s="1089"/>
      <c r="G358" s="1089"/>
      <c r="H358" s="1089"/>
    </row>
    <row r="359" spans="1:8" ht="19.5">
      <c r="A359" s="695"/>
      <c r="B359" s="1089" t="s">
        <v>2509</v>
      </c>
      <c r="C359" s="1089"/>
      <c r="D359" s="1089"/>
      <c r="E359" s="1089"/>
      <c r="F359" s="1089"/>
      <c r="G359" s="1089"/>
      <c r="H359" s="1089"/>
    </row>
    <row r="360" spans="1:8">
      <c r="B360" s="1092" t="s">
        <v>2529</v>
      </c>
      <c r="C360" s="1092"/>
      <c r="D360" s="1092"/>
      <c r="E360" s="1092"/>
      <c r="F360" s="1092"/>
      <c r="G360" s="1092"/>
      <c r="H360" s="1092"/>
    </row>
    <row r="361" spans="1:8" ht="31.5">
      <c r="B361" s="70" t="s">
        <v>3340</v>
      </c>
      <c r="C361" s="70" t="s">
        <v>3341</v>
      </c>
      <c r="D361" s="70" t="s">
        <v>3342</v>
      </c>
      <c r="E361" s="70" t="s">
        <v>3343</v>
      </c>
      <c r="F361" s="70" t="s">
        <v>3344</v>
      </c>
      <c r="G361" s="70" t="s">
        <v>3345</v>
      </c>
      <c r="H361" s="70" t="s">
        <v>1704</v>
      </c>
    </row>
    <row r="362" spans="1:8" ht="17.25">
      <c r="B362" s="1069" t="s">
        <v>1705</v>
      </c>
      <c r="C362" s="60" t="s">
        <v>610</v>
      </c>
      <c r="D362" s="43">
        <v>1.5</v>
      </c>
      <c r="E362" s="57" t="s">
        <v>1707</v>
      </c>
      <c r="F362" s="111">
        <f>'update Rate'!F5</f>
        <v>525</v>
      </c>
      <c r="G362" s="114">
        <f t="shared" ref="G362:G368" si="3">FLOOR(D362*F362,0.01)</f>
        <v>787.5</v>
      </c>
      <c r="H362" s="112"/>
    </row>
    <row r="363" spans="1:8" ht="20.100000000000001" customHeight="1">
      <c r="B363" s="1095"/>
      <c r="C363" s="55" t="s">
        <v>1647</v>
      </c>
      <c r="D363" s="44">
        <v>2.2000000000000002</v>
      </c>
      <c r="E363" s="55" t="s">
        <v>1707</v>
      </c>
      <c r="F363" s="113">
        <f>'update Rate'!F4</f>
        <v>375</v>
      </c>
      <c r="G363" s="113">
        <f t="shared" si="3"/>
        <v>825</v>
      </c>
      <c r="H363" s="9"/>
    </row>
    <row r="364" spans="1:8" ht="20.100000000000001" customHeight="1">
      <c r="B364" s="1070"/>
      <c r="C364" s="58" t="s">
        <v>1648</v>
      </c>
      <c r="D364" s="45">
        <v>0.7</v>
      </c>
      <c r="E364" s="58" t="s">
        <v>1707</v>
      </c>
      <c r="F364" s="65">
        <f>'update Rate'!F4</f>
        <v>375</v>
      </c>
      <c r="G364" s="65">
        <f t="shared" si="3"/>
        <v>262.5</v>
      </c>
      <c r="H364" s="127">
        <f>SUM(G362+G363+G364)</f>
        <v>1875</v>
      </c>
    </row>
    <row r="365" spans="1:8" ht="20.100000000000001" customHeight="1">
      <c r="B365" s="1069" t="s">
        <v>2330</v>
      </c>
      <c r="C365" s="57" t="s">
        <v>1649</v>
      </c>
      <c r="D365" s="47">
        <v>530</v>
      </c>
      <c r="E365" s="57" t="s">
        <v>803</v>
      </c>
      <c r="F365" s="114">
        <f>'update Rate'!F11</f>
        <v>8.5</v>
      </c>
      <c r="G365" s="114">
        <f t="shared" si="3"/>
        <v>4505</v>
      </c>
      <c r="H365" s="114"/>
    </row>
    <row r="366" spans="1:8" ht="20.100000000000001" customHeight="1">
      <c r="B366" s="1095"/>
      <c r="C366" s="55" t="s">
        <v>1650</v>
      </c>
      <c r="D366" s="44">
        <v>0.1</v>
      </c>
      <c r="E366" s="55" t="s">
        <v>804</v>
      </c>
      <c r="F366" s="113">
        <f>'update Rate'!F15</f>
        <v>14200</v>
      </c>
      <c r="G366" s="113">
        <f t="shared" si="3"/>
        <v>1420</v>
      </c>
      <c r="H366" s="9"/>
    </row>
    <row r="367" spans="1:8" ht="20.100000000000001" customHeight="1">
      <c r="B367" s="1095"/>
      <c r="C367" s="55" t="s">
        <v>801</v>
      </c>
      <c r="D367" s="44">
        <v>0.27</v>
      </c>
      <c r="E367" s="55" t="s">
        <v>2530</v>
      </c>
      <c r="F367" s="113">
        <f>'update Rate'!F8</f>
        <v>1659.57</v>
      </c>
      <c r="G367" s="113">
        <f t="shared" si="3"/>
        <v>448.08</v>
      </c>
      <c r="H367" s="113"/>
    </row>
    <row r="368" spans="1:8" ht="20.100000000000001" customHeight="1">
      <c r="B368" s="676"/>
      <c r="C368" s="58" t="s">
        <v>3749</v>
      </c>
      <c r="D368" s="45">
        <v>120</v>
      </c>
      <c r="E368" s="677" t="s">
        <v>3750</v>
      </c>
      <c r="F368" s="65">
        <f>'update Rate'!F508</f>
        <v>0.25</v>
      </c>
      <c r="G368" s="65">
        <f t="shared" si="3"/>
        <v>30</v>
      </c>
      <c r="H368" s="65">
        <f>SUM(G365:G368)</f>
        <v>6403.08</v>
      </c>
    </row>
    <row r="369" spans="1:8" ht="20.100000000000001" customHeight="1">
      <c r="B369" s="64"/>
      <c r="C369" s="66" t="s">
        <v>802</v>
      </c>
      <c r="D369" s="97" t="s">
        <v>3655</v>
      </c>
      <c r="E369" s="98"/>
      <c r="F369" s="98"/>
      <c r="G369" s="163"/>
      <c r="H369" s="65">
        <f>INT(G364*0.03*100)/100</f>
        <v>7.87</v>
      </c>
    </row>
    <row r="370" spans="1:8" ht="20.100000000000001" customHeight="1">
      <c r="F370" s="42" t="s">
        <v>1708</v>
      </c>
      <c r="G370" s="42"/>
      <c r="H370" s="103">
        <f>SUM(H364:H369)</f>
        <v>8285.9500000000007</v>
      </c>
    </row>
    <row r="371" spans="1:8" ht="20.100000000000001" customHeight="1">
      <c r="B371" s="1" t="s">
        <v>3658</v>
      </c>
      <c r="F371" s="42" t="s">
        <v>1689</v>
      </c>
      <c r="G371" s="42"/>
      <c r="H371" s="103">
        <f>FLOOR(H370*0.15,0.01)</f>
        <v>1242.8900000000001</v>
      </c>
    </row>
    <row r="372" spans="1:8" ht="20.100000000000001" customHeight="1">
      <c r="A372" s="28" t="s">
        <v>3384</v>
      </c>
      <c r="B372" s="103">
        <f>+H372</f>
        <v>9528.84</v>
      </c>
      <c r="C372" s="1" t="s">
        <v>3385</v>
      </c>
      <c r="F372" s="42" t="s">
        <v>1711</v>
      </c>
      <c r="G372" s="42"/>
      <c r="H372" s="103">
        <f>SUM(H370:H371)</f>
        <v>9528.84</v>
      </c>
    </row>
    <row r="373" spans="1:8" ht="20.100000000000001" customHeight="1"/>
    <row r="374" spans="1:8" ht="19.5">
      <c r="A374" s="282">
        <f>A357+1</f>
        <v>26</v>
      </c>
      <c r="B374" s="1089" t="s">
        <v>806</v>
      </c>
      <c r="C374" s="1089"/>
      <c r="D374" s="1089"/>
      <c r="E374" s="1089"/>
      <c r="F374" s="1089"/>
      <c r="G374" s="1089"/>
      <c r="H374" s="1089"/>
    </row>
    <row r="375" spans="1:8" ht="19.5">
      <c r="A375" s="688" t="s">
        <v>4373</v>
      </c>
      <c r="B375" s="1076" t="s">
        <v>2936</v>
      </c>
      <c r="C375" s="1089"/>
      <c r="D375" s="1089"/>
      <c r="E375" s="1089"/>
      <c r="F375" s="1089"/>
      <c r="G375" s="1089"/>
      <c r="H375" s="1089"/>
    </row>
    <row r="376" spans="1:8" ht="19.5">
      <c r="A376" s="695"/>
      <c r="B376" s="1077" t="s">
        <v>2509</v>
      </c>
      <c r="C376" s="1089"/>
      <c r="D376" s="1089"/>
      <c r="E376" s="1089"/>
      <c r="F376" s="1089"/>
      <c r="G376" s="1089"/>
      <c r="H376" s="1089"/>
    </row>
    <row r="377" spans="1:8">
      <c r="B377" s="1092" t="s">
        <v>2529</v>
      </c>
      <c r="C377" s="1092"/>
      <c r="D377" s="1092"/>
      <c r="E377" s="1092"/>
      <c r="F377" s="1092"/>
      <c r="G377" s="1092"/>
      <c r="H377" s="1092"/>
    </row>
    <row r="378" spans="1:8" ht="31.5">
      <c r="B378" s="70" t="s">
        <v>3340</v>
      </c>
      <c r="C378" s="70" t="s">
        <v>3341</v>
      </c>
      <c r="D378" s="70" t="s">
        <v>3342</v>
      </c>
      <c r="E378" s="70" t="s">
        <v>3343</v>
      </c>
      <c r="F378" s="70" t="s">
        <v>3344</v>
      </c>
      <c r="G378" s="70" t="s">
        <v>3345</v>
      </c>
      <c r="H378" s="70" t="s">
        <v>1704</v>
      </c>
    </row>
    <row r="379" spans="1:8" ht="17.25">
      <c r="B379" s="1069" t="s">
        <v>1705</v>
      </c>
      <c r="C379" s="60" t="s">
        <v>610</v>
      </c>
      <c r="D379" s="43">
        <v>1.5</v>
      </c>
      <c r="E379" s="57" t="s">
        <v>1707</v>
      </c>
      <c r="F379" s="111">
        <f>'update Rate'!F5</f>
        <v>525</v>
      </c>
      <c r="G379" s="114">
        <f t="shared" ref="G379:G385" si="4">FLOOR(D379*F379,0.01)</f>
        <v>787.5</v>
      </c>
      <c r="H379" s="112"/>
    </row>
    <row r="380" spans="1:8" ht="17.25">
      <c r="B380" s="1095"/>
      <c r="C380" s="55" t="s">
        <v>1647</v>
      </c>
      <c r="D380" s="44">
        <v>2.2000000000000002</v>
      </c>
      <c r="E380" s="55" t="s">
        <v>1707</v>
      </c>
      <c r="F380" s="113">
        <f>'update Rate'!F4</f>
        <v>375</v>
      </c>
      <c r="G380" s="113">
        <f t="shared" si="4"/>
        <v>825</v>
      </c>
      <c r="H380" s="9"/>
    </row>
    <row r="381" spans="1:8" ht="17.25">
      <c r="B381" s="1070"/>
      <c r="C381" s="58" t="s">
        <v>1648</v>
      </c>
      <c r="D381" s="45">
        <v>0.2</v>
      </c>
      <c r="E381" s="58" t="s">
        <v>1707</v>
      </c>
      <c r="F381" s="65">
        <f>'update Rate'!F4</f>
        <v>375</v>
      </c>
      <c r="G381" s="65">
        <f t="shared" si="4"/>
        <v>75</v>
      </c>
      <c r="H381" s="127">
        <f>SUM(G379+G380+G381)</f>
        <v>1687.5</v>
      </c>
    </row>
    <row r="382" spans="1:8" ht="20.100000000000001" customHeight="1">
      <c r="B382" s="1069" t="s">
        <v>2330</v>
      </c>
      <c r="C382" s="57" t="s">
        <v>1649</v>
      </c>
      <c r="D382" s="47">
        <v>530</v>
      </c>
      <c r="E382" s="57" t="s">
        <v>803</v>
      </c>
      <c r="F382" s="114">
        <f>'update Rate'!F11</f>
        <v>8.5</v>
      </c>
      <c r="G382" s="114">
        <f t="shared" si="4"/>
        <v>4505</v>
      </c>
      <c r="H382" s="112"/>
    </row>
    <row r="383" spans="1:8" ht="20.100000000000001" customHeight="1">
      <c r="B383" s="1095"/>
      <c r="C383" s="55" t="s">
        <v>1650</v>
      </c>
      <c r="D383" s="44">
        <v>7.0000000000000007E-2</v>
      </c>
      <c r="E383" s="55" t="s">
        <v>804</v>
      </c>
      <c r="F383" s="113">
        <f>'update Rate'!F15</f>
        <v>14200</v>
      </c>
      <c r="G383" s="113">
        <f t="shared" si="4"/>
        <v>994</v>
      </c>
      <c r="H383" s="9"/>
    </row>
    <row r="384" spans="1:8" ht="20.100000000000001" customHeight="1">
      <c r="B384" s="1095"/>
      <c r="C384" s="55" t="s">
        <v>801</v>
      </c>
      <c r="D384" s="44">
        <v>0.3</v>
      </c>
      <c r="E384" s="55" t="s">
        <v>2530</v>
      </c>
      <c r="F384" s="113">
        <f>'update Rate'!F8</f>
        <v>1659.57</v>
      </c>
      <c r="G384" s="113">
        <f t="shared" si="4"/>
        <v>497.87</v>
      </c>
      <c r="H384" s="9"/>
    </row>
    <row r="385" spans="1:8" ht="20.100000000000001" customHeight="1">
      <c r="B385" s="1095"/>
      <c r="C385" s="58" t="s">
        <v>3749</v>
      </c>
      <c r="D385" s="45">
        <v>100</v>
      </c>
      <c r="E385" s="58" t="s">
        <v>3750</v>
      </c>
      <c r="F385" s="65">
        <f>'update Rate'!F508</f>
        <v>0.25</v>
      </c>
      <c r="G385" s="65">
        <f t="shared" si="4"/>
        <v>25</v>
      </c>
      <c r="H385" s="65">
        <f>SUM(G382:G385)</f>
        <v>6021.87</v>
      </c>
    </row>
    <row r="386" spans="1:8" ht="20.100000000000001" customHeight="1">
      <c r="B386" s="64"/>
      <c r="C386" s="66" t="s">
        <v>802</v>
      </c>
      <c r="D386" s="97" t="s">
        <v>3655</v>
      </c>
      <c r="E386" s="98"/>
      <c r="F386" s="98"/>
      <c r="G386" s="164"/>
      <c r="H386" s="127">
        <f>INT(G381*0.03*100)/100</f>
        <v>2.25</v>
      </c>
    </row>
    <row r="387" spans="1:8" ht="20.100000000000001" customHeight="1">
      <c r="F387" s="42" t="s">
        <v>1708</v>
      </c>
      <c r="G387" s="107"/>
      <c r="H387" s="103">
        <f>SUM(H381:H386)</f>
        <v>7711.62</v>
      </c>
    </row>
    <row r="388" spans="1:8" ht="15.75">
      <c r="B388" s="1" t="s">
        <v>3658</v>
      </c>
      <c r="F388" s="42" t="s">
        <v>1689</v>
      </c>
      <c r="G388" s="107"/>
      <c r="H388" s="103">
        <f>FLOOR(H387*0.15,0.01)</f>
        <v>1156.74</v>
      </c>
    </row>
    <row r="389" spans="1:8" ht="20.100000000000001" customHeight="1">
      <c r="A389" s="28" t="s">
        <v>3384</v>
      </c>
      <c r="B389" s="103">
        <f>+H389</f>
        <v>8868.36</v>
      </c>
      <c r="C389" s="1" t="s">
        <v>3385</v>
      </c>
      <c r="F389" s="42" t="s">
        <v>1711</v>
      </c>
      <c r="G389" s="107"/>
      <c r="H389" s="103">
        <f>SUM(H387:H388)</f>
        <v>8868.36</v>
      </c>
    </row>
    <row r="390" spans="1:8" ht="20.100000000000001" customHeight="1">
      <c r="A390" s="28"/>
      <c r="B390" s="151"/>
      <c r="F390" s="42"/>
      <c r="G390" s="107"/>
      <c r="H390" s="151"/>
    </row>
    <row r="391" spans="1:8" ht="20.100000000000001" customHeight="1">
      <c r="A391" s="28"/>
      <c r="B391" s="151"/>
      <c r="F391" s="42"/>
      <c r="G391" s="107"/>
      <c r="H391" s="151"/>
    </row>
    <row r="392" spans="1:8" ht="20.100000000000001" customHeight="1">
      <c r="A392" s="28"/>
      <c r="B392" s="151"/>
      <c r="F392" s="42"/>
      <c r="G392" s="107"/>
      <c r="H392" s="151"/>
    </row>
    <row r="393" spans="1:8" ht="20.100000000000001" customHeight="1">
      <c r="A393" s="28"/>
      <c r="B393" s="151"/>
      <c r="F393" s="42"/>
      <c r="G393" s="107"/>
      <c r="H393" s="151"/>
    </row>
    <row r="394" spans="1:8" ht="20.100000000000001" customHeight="1">
      <c r="A394" s="28"/>
      <c r="B394" s="151"/>
      <c r="F394" s="42"/>
      <c r="G394" s="107"/>
      <c r="H394" s="151"/>
    </row>
    <row r="395" spans="1:8" ht="20.100000000000001" customHeight="1">
      <c r="A395" s="28"/>
      <c r="B395" s="151"/>
      <c r="F395" s="42"/>
      <c r="G395" s="107"/>
      <c r="H395" s="151"/>
    </row>
    <row r="396" spans="1:8" ht="20.100000000000001" customHeight="1">
      <c r="A396" s="28"/>
      <c r="B396" s="151"/>
      <c r="F396" s="42"/>
      <c r="G396" s="107"/>
      <c r="H396" s="151"/>
    </row>
    <row r="397" spans="1:8">
      <c r="H397" s="19"/>
    </row>
    <row r="398" spans="1:8">
      <c r="H398" s="19"/>
    </row>
    <row r="399" spans="1:8" ht="19.5">
      <c r="A399" s="282">
        <f>+A374+1</f>
        <v>27</v>
      </c>
      <c r="B399" s="1089" t="s">
        <v>2516</v>
      </c>
      <c r="C399" s="1089"/>
      <c r="D399" s="1089"/>
      <c r="E399" s="1089"/>
      <c r="F399" s="1089"/>
      <c r="G399" s="1089"/>
      <c r="H399" s="1089"/>
    </row>
    <row r="400" spans="1:8" ht="19.5">
      <c r="A400" s="688" t="s">
        <v>4373</v>
      </c>
      <c r="B400" s="1089" t="s">
        <v>2936</v>
      </c>
      <c r="C400" s="1089"/>
      <c r="D400" s="1089"/>
      <c r="E400" s="1089"/>
      <c r="F400" s="1089"/>
      <c r="G400" s="1089"/>
      <c r="H400" s="1089"/>
    </row>
    <row r="401" spans="1:8" ht="19.5">
      <c r="A401" s="695"/>
      <c r="B401" s="1089" t="s">
        <v>2509</v>
      </c>
      <c r="C401" s="1089"/>
      <c r="D401" s="1089"/>
      <c r="E401" s="1089"/>
      <c r="F401" s="1089"/>
      <c r="G401" s="1089"/>
      <c r="H401" s="1089"/>
    </row>
    <row r="402" spans="1:8">
      <c r="B402" s="1092" t="s">
        <v>2529</v>
      </c>
      <c r="C402" s="1092"/>
      <c r="D402" s="1092"/>
      <c r="E402" s="1092"/>
      <c r="F402" s="1092"/>
      <c r="G402" s="1092"/>
      <c r="H402" s="1092"/>
    </row>
    <row r="403" spans="1:8" ht="30" customHeight="1">
      <c r="B403" s="70" t="s">
        <v>3340</v>
      </c>
      <c r="C403" s="70" t="s">
        <v>3341</v>
      </c>
      <c r="D403" s="70" t="s">
        <v>3342</v>
      </c>
      <c r="E403" s="70" t="s">
        <v>3343</v>
      </c>
      <c r="F403" s="70" t="s">
        <v>3344</v>
      </c>
      <c r="G403" s="70" t="s">
        <v>3345</v>
      </c>
      <c r="H403" s="70" t="s">
        <v>1704</v>
      </c>
    </row>
    <row r="404" spans="1:8" ht="20.100000000000001" customHeight="1">
      <c r="B404" s="1069" t="s">
        <v>1705</v>
      </c>
      <c r="C404" s="60" t="s">
        <v>610</v>
      </c>
      <c r="D404" s="43">
        <v>1.5</v>
      </c>
      <c r="E404" s="57" t="s">
        <v>1707</v>
      </c>
      <c r="F404" s="111">
        <f>'update Rate'!F5</f>
        <v>525</v>
      </c>
      <c r="G404" s="114">
        <f t="shared" ref="G404:G410" si="5">FLOOR(D404*F404,0.01)</f>
        <v>787.5</v>
      </c>
      <c r="H404" s="112"/>
    </row>
    <row r="405" spans="1:8" ht="20.100000000000001" customHeight="1">
      <c r="B405" s="1095"/>
      <c r="C405" s="55" t="s">
        <v>1647</v>
      </c>
      <c r="D405" s="44">
        <v>2.2000000000000002</v>
      </c>
      <c r="E405" s="55" t="s">
        <v>1707</v>
      </c>
      <c r="F405" s="113">
        <f>'update Rate'!F4</f>
        <v>375</v>
      </c>
      <c r="G405" s="113">
        <f t="shared" si="5"/>
        <v>825</v>
      </c>
      <c r="H405" s="9"/>
    </row>
    <row r="406" spans="1:8" ht="20.100000000000001" customHeight="1">
      <c r="B406" s="1070"/>
      <c r="C406" s="58" t="s">
        <v>1648</v>
      </c>
      <c r="D406" s="45">
        <v>0.7</v>
      </c>
      <c r="E406" s="58" t="s">
        <v>1707</v>
      </c>
      <c r="F406" s="65">
        <f>'update Rate'!F4</f>
        <v>375</v>
      </c>
      <c r="G406" s="65">
        <f t="shared" si="5"/>
        <v>262.5</v>
      </c>
      <c r="H406" s="127">
        <f>SUM(G404+G405+G406)</f>
        <v>1875</v>
      </c>
    </row>
    <row r="407" spans="1:8" ht="20.100000000000001" customHeight="1">
      <c r="B407" s="1069" t="s">
        <v>2330</v>
      </c>
      <c r="C407" s="57" t="s">
        <v>1649</v>
      </c>
      <c r="D407" s="47">
        <v>530</v>
      </c>
      <c r="E407" s="57" t="s">
        <v>803</v>
      </c>
      <c r="F407" s="114">
        <f>'update Rate'!F11</f>
        <v>8.5</v>
      </c>
      <c r="G407" s="114">
        <f t="shared" si="5"/>
        <v>4505</v>
      </c>
      <c r="H407" s="112"/>
    </row>
    <row r="408" spans="1:8" ht="20.100000000000001" customHeight="1">
      <c r="B408" s="1095"/>
      <c r="C408" s="55" t="s">
        <v>1650</v>
      </c>
      <c r="D408" s="44">
        <v>7.0000000000000007E-2</v>
      </c>
      <c r="E408" s="55" t="s">
        <v>804</v>
      </c>
      <c r="F408" s="113">
        <f>'update Rate'!F15</f>
        <v>14200</v>
      </c>
      <c r="G408" s="113">
        <f t="shared" si="5"/>
        <v>994</v>
      </c>
      <c r="H408" s="9"/>
    </row>
    <row r="409" spans="1:8" ht="20.100000000000001" customHeight="1">
      <c r="B409" s="1095"/>
      <c r="C409" s="55" t="s">
        <v>801</v>
      </c>
      <c r="D409" s="44">
        <v>0.3</v>
      </c>
      <c r="E409" s="55" t="s">
        <v>2530</v>
      </c>
      <c r="F409" s="113">
        <f>'update Rate'!F8</f>
        <v>1659.57</v>
      </c>
      <c r="G409" s="113">
        <f t="shared" si="5"/>
        <v>497.87</v>
      </c>
      <c r="H409" s="9"/>
    </row>
    <row r="410" spans="1:8" ht="20.100000000000001" customHeight="1">
      <c r="B410" s="1095"/>
      <c r="C410" s="58" t="s">
        <v>3749</v>
      </c>
      <c r="D410" s="45">
        <v>100</v>
      </c>
      <c r="E410" s="58" t="s">
        <v>3750</v>
      </c>
      <c r="F410" s="65">
        <f>'update Rate'!F508</f>
        <v>0.25</v>
      </c>
      <c r="G410" s="65">
        <f t="shared" si="5"/>
        <v>25</v>
      </c>
      <c r="H410" s="127">
        <f>SUM(G407:G410)</f>
        <v>6021.87</v>
      </c>
    </row>
    <row r="411" spans="1:8" ht="20.100000000000001" customHeight="1">
      <c r="B411" s="10"/>
      <c r="C411" s="5" t="s">
        <v>802</v>
      </c>
      <c r="D411" s="97" t="s">
        <v>3655</v>
      </c>
      <c r="E411" s="98"/>
      <c r="F411" s="98"/>
      <c r="G411" s="164"/>
      <c r="H411" s="127">
        <f>INT(G406*0.03*100)/100</f>
        <v>7.87</v>
      </c>
    </row>
    <row r="412" spans="1:8" ht="20.100000000000001" customHeight="1">
      <c r="F412" s="42" t="s">
        <v>1708</v>
      </c>
      <c r="G412" s="107"/>
      <c r="H412" s="103">
        <f>SUM(H406:H411)</f>
        <v>7904.74</v>
      </c>
    </row>
    <row r="413" spans="1:8" ht="20.100000000000001" customHeight="1">
      <c r="B413" s="1" t="s">
        <v>3658</v>
      </c>
      <c r="F413" s="42" t="s">
        <v>1689</v>
      </c>
      <c r="G413" s="107"/>
      <c r="H413" s="103">
        <f>FLOOR(H412*0.15,0.01)</f>
        <v>1185.71</v>
      </c>
    </row>
    <row r="414" spans="1:8" ht="20.100000000000001" customHeight="1">
      <c r="A414" s="28" t="s">
        <v>3384</v>
      </c>
      <c r="B414" s="103">
        <f>+H414</f>
        <v>9090.4500000000007</v>
      </c>
      <c r="C414" s="1" t="s">
        <v>3385</v>
      </c>
      <c r="F414" s="42" t="s">
        <v>1711</v>
      </c>
      <c r="G414" s="107"/>
      <c r="H414" s="103">
        <f>SUM(H412:H413)</f>
        <v>9090.4500000000007</v>
      </c>
    </row>
    <row r="415" spans="1:8" ht="20.100000000000001" customHeight="1">
      <c r="A415" s="28"/>
      <c r="B415" s="151"/>
      <c r="F415" s="42"/>
      <c r="G415" s="107"/>
      <c r="H415" s="151"/>
    </row>
    <row r="416" spans="1:8" ht="18" customHeight="1">
      <c r="A416" s="282">
        <f>+A399+1</f>
        <v>28</v>
      </c>
      <c r="B416" s="1089" t="s">
        <v>2993</v>
      </c>
      <c r="C416" s="1089"/>
      <c r="D416" s="1089"/>
      <c r="E416" s="1089"/>
      <c r="F416" s="1089"/>
      <c r="G416" s="1089"/>
      <c r="H416" s="1089"/>
    </row>
    <row r="417" spans="1:8" ht="20.100000000000001" customHeight="1">
      <c r="A417" s="688" t="s">
        <v>4377</v>
      </c>
      <c r="B417" s="1089" t="s">
        <v>2994</v>
      </c>
      <c r="C417" s="1089"/>
      <c r="D417" s="1089"/>
      <c r="E417" s="1089"/>
      <c r="F417" s="1089"/>
      <c r="G417" s="1089"/>
      <c r="H417" s="1089"/>
    </row>
    <row r="418" spans="1:8" ht="19.5">
      <c r="A418" s="22" t="s">
        <v>1646</v>
      </c>
      <c r="B418" s="1089" t="s">
        <v>2509</v>
      </c>
      <c r="C418" s="1089"/>
      <c r="D418" s="1089"/>
      <c r="E418" s="1089"/>
      <c r="F418" s="1089"/>
      <c r="G418" s="1089"/>
      <c r="H418" s="1089"/>
    </row>
    <row r="419" spans="1:8">
      <c r="B419" s="1092" t="s">
        <v>2529</v>
      </c>
      <c r="C419" s="1092"/>
      <c r="D419" s="1092"/>
      <c r="E419" s="1092"/>
      <c r="F419" s="1092"/>
      <c r="G419" s="1092"/>
      <c r="H419" s="1092"/>
    </row>
    <row r="420" spans="1:8" ht="31.5">
      <c r="B420" s="70" t="s">
        <v>3340</v>
      </c>
      <c r="C420" s="70" t="s">
        <v>3341</v>
      </c>
      <c r="D420" s="70" t="s">
        <v>3342</v>
      </c>
      <c r="E420" s="70" t="s">
        <v>3343</v>
      </c>
      <c r="F420" s="70" t="s">
        <v>3344</v>
      </c>
      <c r="G420" s="70" t="s">
        <v>3345</v>
      </c>
      <c r="H420" s="70" t="s">
        <v>1704</v>
      </c>
    </row>
    <row r="421" spans="1:8" ht="17.25">
      <c r="B421" s="1069" t="s">
        <v>1705</v>
      </c>
      <c r="C421" s="60" t="s">
        <v>610</v>
      </c>
      <c r="D421" s="43">
        <v>1.5</v>
      </c>
      <c r="E421" s="57" t="s">
        <v>1707</v>
      </c>
      <c r="F421" s="111">
        <f>'update Rate'!F5</f>
        <v>525</v>
      </c>
      <c r="G421" s="114">
        <f t="shared" ref="G421:G427" si="6">FLOOR(D421*F421,0.01)</f>
        <v>787.5</v>
      </c>
      <c r="H421" s="112"/>
    </row>
    <row r="422" spans="1:8" ht="17.25">
      <c r="B422" s="1095"/>
      <c r="C422" s="55" t="s">
        <v>1647</v>
      </c>
      <c r="D422" s="44">
        <v>2.2000000000000002</v>
      </c>
      <c r="E422" s="55" t="s">
        <v>1707</v>
      </c>
      <c r="F422" s="113">
        <f>'update Rate'!F4</f>
        <v>375</v>
      </c>
      <c r="G422" s="113">
        <f t="shared" si="6"/>
        <v>825</v>
      </c>
      <c r="H422" s="9"/>
    </row>
    <row r="423" spans="1:8" ht="17.25">
      <c r="B423" s="1070"/>
      <c r="C423" s="58" t="s">
        <v>1648</v>
      </c>
      <c r="D423" s="45">
        <v>0.2</v>
      </c>
      <c r="E423" s="58" t="s">
        <v>1707</v>
      </c>
      <c r="F423" s="65">
        <f>'update Rate'!F4</f>
        <v>375</v>
      </c>
      <c r="G423" s="65">
        <f t="shared" si="6"/>
        <v>75</v>
      </c>
      <c r="H423" s="127">
        <f>SUM(G421+G422+G423)</f>
        <v>1687.5</v>
      </c>
    </row>
    <row r="424" spans="1:8" ht="20.100000000000001" customHeight="1">
      <c r="B424" s="76"/>
      <c r="C424" s="57" t="s">
        <v>1649</v>
      </c>
      <c r="D424" s="47">
        <v>560</v>
      </c>
      <c r="E424" s="57" t="s">
        <v>803</v>
      </c>
      <c r="F424" s="114">
        <f>'update Rate'!F10</f>
        <v>7.5</v>
      </c>
      <c r="G424" s="114">
        <f t="shared" si="6"/>
        <v>4200</v>
      </c>
      <c r="H424" s="112"/>
    </row>
    <row r="425" spans="1:8" ht="20.100000000000001" customHeight="1">
      <c r="B425" s="75" t="s">
        <v>2330</v>
      </c>
      <c r="C425" s="55" t="s">
        <v>1650</v>
      </c>
      <c r="D425" s="44">
        <v>0.13</v>
      </c>
      <c r="E425" s="55" t="s">
        <v>804</v>
      </c>
      <c r="F425" s="113">
        <f>'update Rate'!F15</f>
        <v>14200</v>
      </c>
      <c r="G425" s="113">
        <f t="shared" si="6"/>
        <v>1846</v>
      </c>
      <c r="H425" s="9"/>
    </row>
    <row r="426" spans="1:8" ht="20.100000000000001" customHeight="1">
      <c r="B426" s="75"/>
      <c r="C426" s="55" t="s">
        <v>801</v>
      </c>
      <c r="D426" s="44">
        <v>0.27</v>
      </c>
      <c r="E426" s="55" t="s">
        <v>2530</v>
      </c>
      <c r="F426" s="113">
        <f>'update Rate'!F8</f>
        <v>1659.57</v>
      </c>
      <c r="G426" s="113">
        <f t="shared" si="6"/>
        <v>448.08</v>
      </c>
      <c r="H426" s="9"/>
    </row>
    <row r="427" spans="1:8" ht="20.100000000000001" customHeight="1">
      <c r="B427" s="75"/>
      <c r="C427" s="58" t="s">
        <v>3749</v>
      </c>
      <c r="D427" s="45">
        <v>150</v>
      </c>
      <c r="E427" s="58" t="s">
        <v>3750</v>
      </c>
      <c r="F427" s="65">
        <f>'update Rate'!F508</f>
        <v>0.25</v>
      </c>
      <c r="G427" s="65">
        <f t="shared" si="6"/>
        <v>37.5</v>
      </c>
      <c r="H427" s="675">
        <f>SUM(G424:G427)</f>
        <v>6531.58</v>
      </c>
    </row>
    <row r="428" spans="1:8" ht="20.100000000000001" customHeight="1">
      <c r="B428" s="64"/>
      <c r="C428" s="66" t="s">
        <v>802</v>
      </c>
      <c r="D428" s="1150" t="s">
        <v>3655</v>
      </c>
      <c r="E428" s="1151"/>
      <c r="F428" s="16"/>
      <c r="G428" s="164"/>
      <c r="H428" s="127">
        <f>INT(G423*0.03*100)/100</f>
        <v>2.25</v>
      </c>
    </row>
    <row r="429" spans="1:8" ht="20.100000000000001" customHeight="1">
      <c r="F429" s="42" t="s">
        <v>1708</v>
      </c>
      <c r="G429" s="107"/>
      <c r="H429" s="103">
        <f>SUM(H423:H428)</f>
        <v>8221.33</v>
      </c>
    </row>
    <row r="430" spans="1:8" ht="15.75">
      <c r="B430" s="1" t="s">
        <v>3658</v>
      </c>
      <c r="F430" s="42" t="s">
        <v>1689</v>
      </c>
      <c r="G430" s="107"/>
      <c r="H430" s="103">
        <f>FLOOR(H429*0.15,0.01)</f>
        <v>1233.19</v>
      </c>
    </row>
    <row r="431" spans="1:8" ht="20.100000000000001" customHeight="1">
      <c r="A431" s="28" t="s">
        <v>3384</v>
      </c>
      <c r="B431" s="103">
        <f>+H431</f>
        <v>9454.52</v>
      </c>
      <c r="C431" s="1" t="s">
        <v>3385</v>
      </c>
      <c r="F431" s="42" t="s">
        <v>1711</v>
      </c>
      <c r="G431" s="107"/>
      <c r="H431" s="103">
        <f>SUM(H429:H430)</f>
        <v>9454.52</v>
      </c>
    </row>
    <row r="432" spans="1:8" ht="20.100000000000001" customHeight="1">
      <c r="A432" s="28"/>
      <c r="B432" s="151"/>
      <c r="F432" s="42"/>
      <c r="G432" s="107"/>
      <c r="H432" s="151"/>
    </row>
    <row r="433" spans="1:8" ht="20.100000000000001" customHeight="1">
      <c r="A433" s="28"/>
      <c r="B433" s="151"/>
      <c r="F433" s="42"/>
      <c r="G433" s="107"/>
      <c r="H433" s="151"/>
    </row>
    <row r="434" spans="1:8" ht="20.100000000000001" customHeight="1">
      <c r="A434" s="28"/>
      <c r="B434" s="151"/>
      <c r="F434" s="42"/>
      <c r="G434" s="107"/>
      <c r="H434" s="151"/>
    </row>
    <row r="435" spans="1:8" ht="20.100000000000001" customHeight="1">
      <c r="A435" s="28"/>
      <c r="B435" s="151"/>
      <c r="F435" s="42"/>
      <c r="G435" s="107"/>
      <c r="H435" s="151"/>
    </row>
    <row r="436" spans="1:8" ht="20.100000000000001" customHeight="1">
      <c r="A436" s="28"/>
      <c r="B436" s="151"/>
      <c r="F436" s="42"/>
      <c r="G436" s="107"/>
      <c r="H436" s="151"/>
    </row>
    <row r="437" spans="1:8" ht="20.100000000000001" customHeight="1">
      <c r="A437" s="28"/>
      <c r="B437" s="151"/>
      <c r="F437" s="42"/>
      <c r="G437" s="107"/>
      <c r="H437" s="151"/>
    </row>
    <row r="439" spans="1:8" ht="19.5">
      <c r="A439" s="282">
        <f>+A416+1</f>
        <v>29</v>
      </c>
      <c r="B439" s="1089" t="s">
        <v>2085</v>
      </c>
      <c r="C439" s="1089"/>
      <c r="D439" s="1089"/>
      <c r="E439" s="1089"/>
      <c r="F439" s="1089"/>
      <c r="G439" s="1089"/>
      <c r="H439" s="1089"/>
    </row>
    <row r="440" spans="1:8" ht="19.5">
      <c r="A440" s="688" t="s">
        <v>4377</v>
      </c>
      <c r="B440" s="1089" t="s">
        <v>2994</v>
      </c>
      <c r="C440" s="1089"/>
      <c r="D440" s="1089"/>
      <c r="E440" s="1089"/>
      <c r="F440" s="1089"/>
      <c r="G440" s="1089"/>
      <c r="H440" s="1089"/>
    </row>
    <row r="441" spans="1:8" ht="19.5">
      <c r="A441" s="22" t="s">
        <v>1645</v>
      </c>
      <c r="B441" s="1089" t="s">
        <v>2509</v>
      </c>
      <c r="C441" s="1089"/>
      <c r="D441" s="1089"/>
      <c r="E441" s="1089"/>
      <c r="F441" s="1089"/>
      <c r="G441" s="1089"/>
      <c r="H441" s="1089"/>
    </row>
    <row r="442" spans="1:8">
      <c r="B442" s="1092" t="s">
        <v>2529</v>
      </c>
      <c r="C442" s="1092"/>
      <c r="D442" s="1092"/>
      <c r="E442" s="1092"/>
      <c r="F442" s="1092"/>
      <c r="G442" s="1092"/>
      <c r="H442" s="1092"/>
    </row>
    <row r="443" spans="1:8" ht="31.5">
      <c r="B443" s="70" t="s">
        <v>3340</v>
      </c>
      <c r="C443" s="70" t="s">
        <v>3341</v>
      </c>
      <c r="D443" s="70" t="s">
        <v>3342</v>
      </c>
      <c r="E443" s="70" t="s">
        <v>3343</v>
      </c>
      <c r="F443" s="70" t="s">
        <v>3344</v>
      </c>
      <c r="G443" s="70" t="s">
        <v>3345</v>
      </c>
      <c r="H443" s="70" t="s">
        <v>1704</v>
      </c>
    </row>
    <row r="444" spans="1:8" ht="17.25">
      <c r="B444" s="1069" t="s">
        <v>1705</v>
      </c>
      <c r="C444" s="60" t="s">
        <v>610</v>
      </c>
      <c r="D444" s="43">
        <v>1.5</v>
      </c>
      <c r="E444" s="57" t="s">
        <v>1707</v>
      </c>
      <c r="F444" s="111">
        <f>'update Rate'!F5</f>
        <v>525</v>
      </c>
      <c r="G444" s="114">
        <f t="shared" ref="G444:G450" si="7">FLOOR(D444*F444,0.01)</f>
        <v>787.5</v>
      </c>
      <c r="H444" s="112"/>
    </row>
    <row r="445" spans="1:8" ht="20.100000000000001" customHeight="1">
      <c r="B445" s="1095"/>
      <c r="C445" s="55" t="s">
        <v>1647</v>
      </c>
      <c r="D445" s="44">
        <v>2.2000000000000002</v>
      </c>
      <c r="E445" s="55" t="s">
        <v>1707</v>
      </c>
      <c r="F445" s="113">
        <f>'update Rate'!F4</f>
        <v>375</v>
      </c>
      <c r="G445" s="113">
        <f t="shared" si="7"/>
        <v>825</v>
      </c>
      <c r="H445" s="9"/>
    </row>
    <row r="446" spans="1:8" ht="20.100000000000001" customHeight="1">
      <c r="B446" s="1070"/>
      <c r="C446" s="58" t="s">
        <v>1648</v>
      </c>
      <c r="D446" s="45">
        <v>0.7</v>
      </c>
      <c r="E446" s="58" t="s">
        <v>1707</v>
      </c>
      <c r="F446" s="65">
        <f>'update Rate'!F4</f>
        <v>375</v>
      </c>
      <c r="G446" s="65">
        <f t="shared" si="7"/>
        <v>262.5</v>
      </c>
      <c r="H446" s="125">
        <f>SUM(G444+G445+G446)</f>
        <v>1875</v>
      </c>
    </row>
    <row r="447" spans="1:8" ht="20.100000000000001" customHeight="1">
      <c r="B447" s="76"/>
      <c r="C447" s="57" t="s">
        <v>1649</v>
      </c>
      <c r="D447" s="47">
        <v>560</v>
      </c>
      <c r="E447" s="57" t="s">
        <v>803</v>
      </c>
      <c r="F447" s="114">
        <f>'update Rate'!F10</f>
        <v>7.5</v>
      </c>
      <c r="G447" s="114">
        <f t="shared" si="7"/>
        <v>4200</v>
      </c>
      <c r="H447" s="112"/>
    </row>
    <row r="448" spans="1:8" ht="20.100000000000001" customHeight="1">
      <c r="B448" s="55" t="s">
        <v>2330</v>
      </c>
      <c r="C448" s="55" t="s">
        <v>1650</v>
      </c>
      <c r="D448" s="44">
        <v>0.13</v>
      </c>
      <c r="E448" s="55" t="s">
        <v>804</v>
      </c>
      <c r="F448" s="113">
        <f>'update Rate'!F15</f>
        <v>14200</v>
      </c>
      <c r="G448" s="113">
        <f t="shared" si="7"/>
        <v>1846</v>
      </c>
      <c r="H448" s="9"/>
    </row>
    <row r="449" spans="1:8" ht="20.100000000000001" customHeight="1">
      <c r="B449" s="55"/>
      <c r="C449" s="55" t="s">
        <v>801</v>
      </c>
      <c r="D449" s="44">
        <v>0.27</v>
      </c>
      <c r="E449" s="55" t="s">
        <v>2530</v>
      </c>
      <c r="F449" s="113">
        <f>'update Rate'!F8</f>
        <v>1659.57</v>
      </c>
      <c r="G449" s="113">
        <f t="shared" si="7"/>
        <v>448.08</v>
      </c>
      <c r="H449" s="9"/>
    </row>
    <row r="450" spans="1:8" ht="20.100000000000001" customHeight="1">
      <c r="B450" s="75"/>
      <c r="C450" s="58" t="s">
        <v>3749</v>
      </c>
      <c r="D450" s="45">
        <v>150</v>
      </c>
      <c r="E450" s="58" t="s">
        <v>3750</v>
      </c>
      <c r="F450" s="65">
        <f>'update Rate'!F508</f>
        <v>0.25</v>
      </c>
      <c r="G450" s="65">
        <f t="shared" si="7"/>
        <v>37.5</v>
      </c>
      <c r="H450" s="675">
        <f>SUM(G447:G450)</f>
        <v>6531.58</v>
      </c>
    </row>
    <row r="451" spans="1:8" ht="20.100000000000001" customHeight="1">
      <c r="B451" s="64"/>
      <c r="C451" s="66" t="s">
        <v>802</v>
      </c>
      <c r="D451" s="1150" t="s">
        <v>3655</v>
      </c>
      <c r="E451" s="1151"/>
      <c r="F451" s="16"/>
      <c r="G451" s="164"/>
      <c r="H451" s="127">
        <f>INT(G446*0.03*100)/100</f>
        <v>7.87</v>
      </c>
    </row>
    <row r="452" spans="1:8" ht="20.100000000000001" customHeight="1">
      <c r="E452" s="42"/>
      <c r="F452" s="42" t="s">
        <v>1708</v>
      </c>
      <c r="G452" s="107"/>
      <c r="H452" s="103">
        <f>SUM(H446:H451)</f>
        <v>8414.4500000000007</v>
      </c>
    </row>
    <row r="453" spans="1:8" ht="20.100000000000001" customHeight="1">
      <c r="B453" s="1" t="s">
        <v>3658</v>
      </c>
      <c r="E453" s="42"/>
      <c r="F453" s="42" t="s">
        <v>1689</v>
      </c>
      <c r="G453" s="107"/>
      <c r="H453" s="103">
        <f>FLOOR(H452*0.15,0.01)</f>
        <v>1262.1600000000001</v>
      </c>
    </row>
    <row r="454" spans="1:8" ht="20.100000000000001" customHeight="1">
      <c r="A454" s="28" t="s">
        <v>3384</v>
      </c>
      <c r="B454" s="103">
        <f>+H454</f>
        <v>9676.61</v>
      </c>
      <c r="C454" s="1" t="s">
        <v>3385</v>
      </c>
      <c r="E454" s="42"/>
      <c r="F454" s="42" t="s">
        <v>1711</v>
      </c>
      <c r="G454" s="107"/>
      <c r="H454" s="103">
        <f>SUM(H452:H453)</f>
        <v>9676.61</v>
      </c>
    </row>
    <row r="455" spans="1:8" ht="20.100000000000001" customHeight="1">
      <c r="E455" s="42"/>
      <c r="F455" s="42"/>
      <c r="G455" s="42"/>
    </row>
    <row r="456" spans="1:8" ht="20.100000000000001" customHeight="1">
      <c r="A456" s="282">
        <f>+A439+1</f>
        <v>30</v>
      </c>
      <c r="B456" s="1089" t="s">
        <v>2993</v>
      </c>
      <c r="C456" s="1089"/>
      <c r="D456" s="1089"/>
      <c r="E456" s="1089"/>
      <c r="F456" s="1089"/>
      <c r="G456" s="1089"/>
      <c r="H456" s="1089"/>
    </row>
    <row r="457" spans="1:8" ht="20.100000000000001" customHeight="1">
      <c r="A457" s="688" t="s">
        <v>4377</v>
      </c>
      <c r="B457" s="1089" t="s">
        <v>2508</v>
      </c>
      <c r="C457" s="1089"/>
      <c r="D457" s="1089"/>
      <c r="E457" s="1089"/>
      <c r="F457" s="1089"/>
      <c r="G457" s="1089"/>
      <c r="H457" s="1089"/>
    </row>
    <row r="458" spans="1:8" ht="20.100000000000001" customHeight="1">
      <c r="A458" s="22" t="s">
        <v>1646</v>
      </c>
      <c r="B458" s="1089" t="s">
        <v>2509</v>
      </c>
      <c r="C458" s="1089"/>
      <c r="D458" s="1089"/>
      <c r="E458" s="1089"/>
      <c r="F458" s="1089"/>
      <c r="G458" s="1089"/>
      <c r="H458" s="1089"/>
    </row>
    <row r="459" spans="1:8">
      <c r="B459" s="1092" t="s">
        <v>2529</v>
      </c>
      <c r="C459" s="1092"/>
      <c r="D459" s="1092"/>
      <c r="E459" s="1092"/>
      <c r="F459" s="1092"/>
      <c r="G459" s="1092"/>
      <c r="H459" s="1092"/>
    </row>
    <row r="460" spans="1:8" ht="31.5">
      <c r="B460" s="70" t="s">
        <v>3340</v>
      </c>
      <c r="C460" s="70" t="s">
        <v>3341</v>
      </c>
      <c r="D460" s="70" t="s">
        <v>3342</v>
      </c>
      <c r="E460" s="70" t="s">
        <v>3343</v>
      </c>
      <c r="F460" s="70" t="s">
        <v>3344</v>
      </c>
      <c r="G460" s="70" t="s">
        <v>3345</v>
      </c>
      <c r="H460" s="70" t="s">
        <v>1704</v>
      </c>
    </row>
    <row r="461" spans="1:8" ht="17.25">
      <c r="B461" s="1069" t="s">
        <v>1705</v>
      </c>
      <c r="C461" s="60" t="s">
        <v>610</v>
      </c>
      <c r="D461" s="43">
        <v>1.5</v>
      </c>
      <c r="E461" s="57" t="s">
        <v>1707</v>
      </c>
      <c r="F461" s="111">
        <f>'update Rate'!F5</f>
        <v>525</v>
      </c>
      <c r="G461" s="114">
        <f t="shared" ref="G461:G467" si="8">FLOOR(D461*F461,0.01)</f>
        <v>787.5</v>
      </c>
      <c r="H461" s="112"/>
    </row>
    <row r="462" spans="1:8" ht="17.25">
      <c r="B462" s="1095"/>
      <c r="C462" s="55" t="s">
        <v>1647</v>
      </c>
      <c r="D462" s="44">
        <v>2.2000000000000002</v>
      </c>
      <c r="E462" s="55" t="s">
        <v>1707</v>
      </c>
      <c r="F462" s="113">
        <f>'update Rate'!F4</f>
        <v>375</v>
      </c>
      <c r="G462" s="113">
        <f t="shared" si="8"/>
        <v>825</v>
      </c>
      <c r="H462" s="9"/>
    </row>
    <row r="463" spans="1:8" ht="17.25">
      <c r="B463" s="1070"/>
      <c r="C463" s="58" t="s">
        <v>1648</v>
      </c>
      <c r="D463" s="45">
        <v>0.2</v>
      </c>
      <c r="E463" s="58" t="s">
        <v>1707</v>
      </c>
      <c r="F463" s="65">
        <f>'update Rate'!F4</f>
        <v>375</v>
      </c>
      <c r="G463" s="65">
        <f t="shared" si="8"/>
        <v>75</v>
      </c>
      <c r="H463" s="125">
        <f>SUM(G461+G462+G463)</f>
        <v>1687.5</v>
      </c>
    </row>
    <row r="464" spans="1:8" ht="20.100000000000001" customHeight="1">
      <c r="B464" s="76"/>
      <c r="C464" s="57" t="s">
        <v>1649</v>
      </c>
      <c r="D464" s="47">
        <v>560</v>
      </c>
      <c r="E464" s="57" t="s">
        <v>803</v>
      </c>
      <c r="F464" s="114">
        <f>'update Rate'!F10</f>
        <v>7.5</v>
      </c>
      <c r="G464" s="114">
        <f t="shared" si="8"/>
        <v>4200</v>
      </c>
      <c r="H464" s="112"/>
    </row>
    <row r="465" spans="1:8" ht="20.100000000000001" customHeight="1">
      <c r="B465" s="55" t="s">
        <v>2330</v>
      </c>
      <c r="C465" s="55" t="s">
        <v>1650</v>
      </c>
      <c r="D465" s="44">
        <v>0.1</v>
      </c>
      <c r="E465" s="55" t="s">
        <v>804</v>
      </c>
      <c r="F465" s="113">
        <f>'update Rate'!F15</f>
        <v>14200</v>
      </c>
      <c r="G465" s="113">
        <f t="shared" si="8"/>
        <v>1420</v>
      </c>
      <c r="H465" s="9"/>
    </row>
    <row r="466" spans="1:8" ht="20.100000000000001" customHeight="1">
      <c r="B466" s="55"/>
      <c r="C466" s="55" t="s">
        <v>801</v>
      </c>
      <c r="D466" s="44">
        <v>0.28000000000000003</v>
      </c>
      <c r="E466" s="55" t="s">
        <v>2530</v>
      </c>
      <c r="F466" s="113">
        <f>'update Rate'!F8</f>
        <v>1659.57</v>
      </c>
      <c r="G466" s="113">
        <f t="shared" si="8"/>
        <v>464.67</v>
      </c>
      <c r="H466" s="9"/>
    </row>
    <row r="467" spans="1:8" ht="20.100000000000001" customHeight="1">
      <c r="B467" s="75"/>
      <c r="C467" s="58" t="s">
        <v>3749</v>
      </c>
      <c r="D467" s="45">
        <v>130</v>
      </c>
      <c r="E467" s="58" t="s">
        <v>3750</v>
      </c>
      <c r="F467" s="65">
        <f>'update Rate'!F508</f>
        <v>0.25</v>
      </c>
      <c r="G467" s="65">
        <f t="shared" si="8"/>
        <v>32.5</v>
      </c>
      <c r="H467" s="675">
        <f>SUM(G464:G467)</f>
        <v>6117.17</v>
      </c>
    </row>
    <row r="468" spans="1:8" ht="20.100000000000001" customHeight="1">
      <c r="B468" s="64"/>
      <c r="C468" s="66" t="s">
        <v>802</v>
      </c>
      <c r="D468" s="1150" t="s">
        <v>3655</v>
      </c>
      <c r="E468" s="1151"/>
      <c r="F468" s="16"/>
      <c r="G468" s="164"/>
      <c r="H468" s="127">
        <f>INT(G463*0.03*100)/100</f>
        <v>2.25</v>
      </c>
    </row>
    <row r="469" spans="1:8" ht="20.100000000000001" customHeight="1">
      <c r="F469" s="42" t="s">
        <v>1708</v>
      </c>
      <c r="G469" s="107"/>
      <c r="H469" s="103">
        <f>SUM(H463:H468)</f>
        <v>7806.92</v>
      </c>
    </row>
    <row r="470" spans="1:8" ht="15.75">
      <c r="B470" s="1" t="s">
        <v>3658</v>
      </c>
      <c r="F470" s="42" t="s">
        <v>1689</v>
      </c>
      <c r="G470" s="107"/>
      <c r="H470" s="103">
        <f>FLOOR(H469*0.15,0.01)</f>
        <v>1171.03</v>
      </c>
    </row>
    <row r="471" spans="1:8" ht="20.100000000000001" customHeight="1">
      <c r="A471" s="28" t="s">
        <v>3384</v>
      </c>
      <c r="B471" s="103">
        <f>+H471</f>
        <v>8977.9500000000007</v>
      </c>
      <c r="C471" s="1" t="s">
        <v>3385</v>
      </c>
      <c r="F471" s="42" t="s">
        <v>1711</v>
      </c>
      <c r="G471" s="107"/>
      <c r="H471" s="103">
        <f>SUM(H469:H470)</f>
        <v>8977.9500000000007</v>
      </c>
    </row>
    <row r="472" spans="1:8" ht="20.100000000000001" customHeight="1">
      <c r="A472" s="28"/>
      <c r="B472" s="151"/>
      <c r="F472" s="42"/>
      <c r="G472" s="107"/>
      <c r="H472" s="151"/>
    </row>
    <row r="473" spans="1:8" ht="20.100000000000001" customHeight="1">
      <c r="A473" s="28"/>
      <c r="B473" s="151"/>
      <c r="F473" s="42"/>
      <c r="G473" s="107"/>
      <c r="H473" s="151"/>
    </row>
    <row r="474" spans="1:8" ht="20.100000000000001" customHeight="1">
      <c r="A474" s="28"/>
      <c r="B474" s="151"/>
      <c r="F474" s="42"/>
      <c r="G474" s="107"/>
      <c r="H474" s="151"/>
    </row>
    <row r="475" spans="1:8" ht="20.100000000000001" customHeight="1">
      <c r="A475" s="28"/>
      <c r="B475" s="151"/>
      <c r="F475" s="42"/>
      <c r="G475" s="107"/>
      <c r="H475" s="151"/>
    </row>
    <row r="476" spans="1:8" ht="20.100000000000001" customHeight="1">
      <c r="A476" s="28"/>
      <c r="B476" s="151"/>
      <c r="F476" s="42"/>
      <c r="G476" s="107"/>
      <c r="H476" s="151"/>
    </row>
    <row r="477" spans="1:8" ht="20.100000000000001" customHeight="1">
      <c r="A477" s="28"/>
      <c r="B477" s="151"/>
      <c r="F477" s="42"/>
      <c r="G477" s="107"/>
      <c r="H477" s="151"/>
    </row>
    <row r="478" spans="1:8">
      <c r="B478" s="33"/>
      <c r="H478" s="19"/>
    </row>
    <row r="479" spans="1:8" ht="13.5" customHeight="1"/>
    <row r="480" spans="1:8" ht="19.5">
      <c r="A480" s="282">
        <f>+A456+1</f>
        <v>31</v>
      </c>
      <c r="B480" s="1089" t="s">
        <v>2085</v>
      </c>
      <c r="C480" s="1089"/>
      <c r="D480" s="1089"/>
      <c r="E480" s="1089"/>
      <c r="F480" s="1089"/>
      <c r="G480" s="1089"/>
      <c r="H480" s="1089"/>
    </row>
    <row r="481" spans="1:8" ht="19.5">
      <c r="A481" s="688" t="s">
        <v>4377</v>
      </c>
      <c r="B481" s="1076" t="s">
        <v>2508</v>
      </c>
      <c r="C481" s="1089"/>
      <c r="D481" s="1089"/>
      <c r="E481" s="1089"/>
      <c r="F481" s="1089"/>
      <c r="G481" s="1089"/>
      <c r="H481" s="1089"/>
    </row>
    <row r="482" spans="1:8" ht="19.5">
      <c r="A482" s="22" t="s">
        <v>1645</v>
      </c>
      <c r="B482" s="1076" t="s">
        <v>2509</v>
      </c>
      <c r="C482" s="1089"/>
      <c r="D482" s="1089"/>
      <c r="E482" s="1089"/>
      <c r="F482" s="1089"/>
      <c r="G482" s="1089"/>
      <c r="H482" s="1089"/>
    </row>
    <row r="483" spans="1:8">
      <c r="B483" s="1083" t="s">
        <v>2529</v>
      </c>
      <c r="C483" s="1083"/>
      <c r="D483" s="1083"/>
      <c r="E483" s="1083"/>
      <c r="F483" s="1083"/>
      <c r="G483" s="1083"/>
      <c r="H483" s="1083"/>
    </row>
    <row r="484" spans="1:8" ht="31.5">
      <c r="B484" s="70" t="s">
        <v>3340</v>
      </c>
      <c r="C484" s="70" t="s">
        <v>3341</v>
      </c>
      <c r="D484" s="70" t="s">
        <v>3342</v>
      </c>
      <c r="E484" s="70" t="s">
        <v>3343</v>
      </c>
      <c r="F484" s="70" t="s">
        <v>3344</v>
      </c>
      <c r="G484" s="70" t="s">
        <v>3345</v>
      </c>
      <c r="H484" s="70" t="s">
        <v>1704</v>
      </c>
    </row>
    <row r="485" spans="1:8" ht="17.25">
      <c r="B485" s="1069" t="s">
        <v>1705</v>
      </c>
      <c r="C485" s="60" t="s">
        <v>610</v>
      </c>
      <c r="D485" s="43">
        <v>1.5</v>
      </c>
      <c r="E485" s="57" t="s">
        <v>1707</v>
      </c>
      <c r="F485" s="111">
        <f>'update Rate'!F5</f>
        <v>525</v>
      </c>
      <c r="G485" s="114">
        <f t="shared" ref="G485:G491" si="9">FLOOR(D485*F485,0.01)</f>
        <v>787.5</v>
      </c>
      <c r="H485" s="112"/>
    </row>
    <row r="486" spans="1:8" ht="20.100000000000001" customHeight="1">
      <c r="B486" s="1095"/>
      <c r="C486" s="55" t="s">
        <v>1647</v>
      </c>
      <c r="D486" s="44">
        <v>2.2000000000000002</v>
      </c>
      <c r="E486" s="55" t="s">
        <v>1707</v>
      </c>
      <c r="F486" s="113">
        <f>'update Rate'!F4</f>
        <v>375</v>
      </c>
      <c r="G486" s="113">
        <f t="shared" si="9"/>
        <v>825</v>
      </c>
      <c r="H486" s="9"/>
    </row>
    <row r="487" spans="1:8" ht="20.100000000000001" customHeight="1">
      <c r="B487" s="1070"/>
      <c r="C487" s="58" t="s">
        <v>1648</v>
      </c>
      <c r="D487" s="45">
        <v>0.7</v>
      </c>
      <c r="E487" s="58" t="s">
        <v>1707</v>
      </c>
      <c r="F487" s="65">
        <f>'update Rate'!F4</f>
        <v>375</v>
      </c>
      <c r="G487" s="65">
        <f t="shared" si="9"/>
        <v>262.5</v>
      </c>
      <c r="H487" s="127">
        <f>SUM(G485+G486+G487)</f>
        <v>1875</v>
      </c>
    </row>
    <row r="488" spans="1:8" ht="20.100000000000001" customHeight="1">
      <c r="B488" s="57"/>
      <c r="C488" s="57" t="s">
        <v>1649</v>
      </c>
      <c r="D488" s="47">
        <v>560</v>
      </c>
      <c r="E488" s="57" t="s">
        <v>803</v>
      </c>
      <c r="F488" s="114">
        <f>'update Rate'!F10</f>
        <v>7.5</v>
      </c>
      <c r="G488" s="114">
        <f t="shared" si="9"/>
        <v>4200</v>
      </c>
      <c r="H488" s="112"/>
    </row>
    <row r="489" spans="1:8" ht="20.100000000000001" customHeight="1">
      <c r="B489" s="55" t="s">
        <v>2330</v>
      </c>
      <c r="C489" s="55" t="s">
        <v>1650</v>
      </c>
      <c r="D489" s="44">
        <v>0.1</v>
      </c>
      <c r="E489" s="55" t="s">
        <v>804</v>
      </c>
      <c r="F489" s="113">
        <f>'update Rate'!F15</f>
        <v>14200</v>
      </c>
      <c r="G489" s="113">
        <f t="shared" si="9"/>
        <v>1420</v>
      </c>
      <c r="H489" s="9"/>
    </row>
    <row r="490" spans="1:8" ht="20.100000000000001" customHeight="1">
      <c r="B490" s="55"/>
      <c r="C490" s="55" t="s">
        <v>801</v>
      </c>
      <c r="D490" s="44">
        <v>0.28000000000000003</v>
      </c>
      <c r="E490" s="55" t="s">
        <v>2530</v>
      </c>
      <c r="F490" s="113">
        <f>'update Rate'!F8</f>
        <v>1659.57</v>
      </c>
      <c r="G490" s="113">
        <f t="shared" si="9"/>
        <v>464.67</v>
      </c>
      <c r="H490" s="9"/>
    </row>
    <row r="491" spans="1:8" ht="20.100000000000001" customHeight="1">
      <c r="B491" s="55"/>
      <c r="C491" s="58" t="s">
        <v>3749</v>
      </c>
      <c r="D491" s="45">
        <v>130</v>
      </c>
      <c r="E491" s="58" t="s">
        <v>3750</v>
      </c>
      <c r="F491" s="65">
        <f>'update Rate'!F508</f>
        <v>0.25</v>
      </c>
      <c r="G491" s="65">
        <f t="shared" si="9"/>
        <v>32.5</v>
      </c>
      <c r="H491" s="675">
        <f>SUM(G488:G491)</f>
        <v>6117.17</v>
      </c>
    </row>
    <row r="492" spans="1:8" ht="20.100000000000001" customHeight="1">
      <c r="B492" s="64"/>
      <c r="C492" s="66" t="s">
        <v>802</v>
      </c>
      <c r="D492" s="1150" t="s">
        <v>3655</v>
      </c>
      <c r="E492" s="1151"/>
      <c r="F492" s="16"/>
      <c r="G492" s="164"/>
      <c r="H492" s="127">
        <f>INT(G487*0.03*100)/100</f>
        <v>7.87</v>
      </c>
    </row>
    <row r="493" spans="1:8" ht="20.100000000000001" customHeight="1">
      <c r="F493" s="42" t="s">
        <v>1708</v>
      </c>
      <c r="G493" s="107"/>
      <c r="H493" s="103">
        <f>SUM(H487:H492)</f>
        <v>8000.04</v>
      </c>
    </row>
    <row r="494" spans="1:8" ht="20.100000000000001" customHeight="1">
      <c r="B494" s="1" t="s">
        <v>3658</v>
      </c>
      <c r="F494" s="42" t="s">
        <v>1689</v>
      </c>
      <c r="G494" s="107"/>
      <c r="H494" s="103">
        <f>FLOOR(H493*0.15,0.01)</f>
        <v>1200</v>
      </c>
    </row>
    <row r="495" spans="1:8" ht="20.100000000000001" customHeight="1">
      <c r="A495" s="28" t="s">
        <v>3384</v>
      </c>
      <c r="B495" s="103">
        <f>+H495</f>
        <v>9200.0400000000009</v>
      </c>
      <c r="C495" s="1" t="s">
        <v>3385</v>
      </c>
      <c r="F495" s="42" t="s">
        <v>1711</v>
      </c>
      <c r="G495" s="107"/>
      <c r="H495" s="103">
        <f>SUM(H493:H494)</f>
        <v>9200.0400000000009</v>
      </c>
    </row>
    <row r="496" spans="1:8" ht="20.100000000000001" customHeight="1"/>
    <row r="497" spans="1:8" ht="20.100000000000001" customHeight="1">
      <c r="A497" s="282">
        <f>+A480+1</f>
        <v>32</v>
      </c>
      <c r="B497" s="1089" t="s">
        <v>2993</v>
      </c>
      <c r="C497" s="1089"/>
      <c r="D497" s="1089"/>
      <c r="E497" s="1089"/>
      <c r="F497" s="1089"/>
      <c r="G497" s="1089"/>
      <c r="H497" s="1089"/>
    </row>
    <row r="498" spans="1:8" ht="18.75" customHeight="1">
      <c r="A498" s="688" t="s">
        <v>4377</v>
      </c>
      <c r="B498" s="1076" t="s">
        <v>2936</v>
      </c>
      <c r="C498" s="1089"/>
      <c r="D498" s="1089"/>
      <c r="E498" s="1089"/>
      <c r="F498" s="1089"/>
      <c r="G498" s="1089"/>
      <c r="H498" s="1089"/>
    </row>
    <row r="499" spans="1:8" ht="20.25" customHeight="1">
      <c r="A499" s="22" t="s">
        <v>1646</v>
      </c>
      <c r="B499" s="1076" t="s">
        <v>2509</v>
      </c>
      <c r="C499" s="1089"/>
      <c r="D499" s="1089"/>
      <c r="E499" s="1089"/>
      <c r="F499" s="1089"/>
      <c r="G499" s="1089"/>
      <c r="H499" s="1089"/>
    </row>
    <row r="500" spans="1:8">
      <c r="B500" s="1083" t="s">
        <v>2529</v>
      </c>
      <c r="C500" s="1083"/>
      <c r="D500" s="1083"/>
      <c r="E500" s="1083"/>
      <c r="F500" s="1083"/>
      <c r="G500" s="1083"/>
      <c r="H500" s="1083"/>
    </row>
    <row r="501" spans="1:8" ht="31.5">
      <c r="B501" s="70" t="s">
        <v>3340</v>
      </c>
      <c r="C501" s="70" t="s">
        <v>3341</v>
      </c>
      <c r="D501" s="70" t="s">
        <v>3342</v>
      </c>
      <c r="E501" s="70" t="s">
        <v>3343</v>
      </c>
      <c r="F501" s="70" t="s">
        <v>3344</v>
      </c>
      <c r="G501" s="70" t="s">
        <v>3345</v>
      </c>
      <c r="H501" s="70" t="s">
        <v>1704</v>
      </c>
    </row>
    <row r="502" spans="1:8" ht="17.25">
      <c r="B502" s="1069" t="s">
        <v>1705</v>
      </c>
      <c r="C502" s="60" t="s">
        <v>610</v>
      </c>
      <c r="D502" s="43">
        <v>1.5</v>
      </c>
      <c r="E502" s="57" t="s">
        <v>1707</v>
      </c>
      <c r="F502" s="111">
        <f>'update Rate'!F5</f>
        <v>525</v>
      </c>
      <c r="G502" s="114">
        <f t="shared" ref="G502:G508" si="10">FLOOR(D502*F502,0.01)</f>
        <v>787.5</v>
      </c>
      <c r="H502" s="112"/>
    </row>
    <row r="503" spans="1:8" ht="17.25">
      <c r="B503" s="1095"/>
      <c r="C503" s="55" t="s">
        <v>1647</v>
      </c>
      <c r="D503" s="44">
        <v>2.2000000000000002</v>
      </c>
      <c r="E503" s="55" t="s">
        <v>1707</v>
      </c>
      <c r="F503" s="113">
        <f>'update Rate'!F4</f>
        <v>375</v>
      </c>
      <c r="G503" s="113">
        <f t="shared" si="10"/>
        <v>825</v>
      </c>
      <c r="H503" s="9"/>
    </row>
    <row r="504" spans="1:8" ht="17.25">
      <c r="B504" s="1070"/>
      <c r="C504" s="58" t="s">
        <v>1648</v>
      </c>
      <c r="D504" s="45">
        <v>0.2</v>
      </c>
      <c r="E504" s="58" t="s">
        <v>1707</v>
      </c>
      <c r="F504" s="65">
        <f>'update Rate'!F4</f>
        <v>375</v>
      </c>
      <c r="G504" s="65">
        <f t="shared" si="10"/>
        <v>75</v>
      </c>
      <c r="H504" s="127">
        <f>SUM(G502+G503+G504)</f>
        <v>1687.5</v>
      </c>
    </row>
    <row r="505" spans="1:8" ht="17.25">
      <c r="B505" s="76"/>
      <c r="C505" s="57" t="s">
        <v>1649</v>
      </c>
      <c r="D505" s="47">
        <v>560</v>
      </c>
      <c r="E505" s="57" t="s">
        <v>803</v>
      </c>
      <c r="F505" s="114">
        <f>'update Rate'!F10</f>
        <v>7.5</v>
      </c>
      <c r="G505" s="114">
        <f t="shared" si="10"/>
        <v>4200</v>
      </c>
      <c r="H505" s="112"/>
    </row>
    <row r="506" spans="1:8" ht="17.25">
      <c r="B506" s="55" t="s">
        <v>2330</v>
      </c>
      <c r="C506" s="55" t="s">
        <v>1650</v>
      </c>
      <c r="D506" s="44">
        <v>7.0000000000000007E-2</v>
      </c>
      <c r="E506" s="55" t="s">
        <v>804</v>
      </c>
      <c r="F506" s="113">
        <f>'update Rate'!F15</f>
        <v>14200</v>
      </c>
      <c r="G506" s="113">
        <f t="shared" si="10"/>
        <v>994</v>
      </c>
      <c r="H506" s="9"/>
    </row>
    <row r="507" spans="1:8" ht="17.25">
      <c r="B507" s="55"/>
      <c r="C507" s="55" t="s">
        <v>801</v>
      </c>
      <c r="D507" s="44">
        <v>0.3</v>
      </c>
      <c r="E507" s="55" t="s">
        <v>2530</v>
      </c>
      <c r="F507" s="113">
        <f>'update Rate'!F8</f>
        <v>1659.57</v>
      </c>
      <c r="G507" s="113">
        <f t="shared" si="10"/>
        <v>497.87</v>
      </c>
      <c r="H507" s="9"/>
    </row>
    <row r="508" spans="1:8" ht="17.25">
      <c r="B508" s="75"/>
      <c r="C508" s="58" t="s">
        <v>3749</v>
      </c>
      <c r="D508" s="45">
        <v>100</v>
      </c>
      <c r="E508" s="58" t="s">
        <v>3750</v>
      </c>
      <c r="F508" s="65">
        <f>'update Rate'!F508</f>
        <v>0.25</v>
      </c>
      <c r="G508" s="65">
        <f t="shared" si="10"/>
        <v>25</v>
      </c>
      <c r="H508" s="675">
        <f>SUM(G505:G508)</f>
        <v>5716.87</v>
      </c>
    </row>
    <row r="509" spans="1:8" ht="15.75">
      <c r="B509" s="64"/>
      <c r="C509" s="66" t="s">
        <v>802</v>
      </c>
      <c r="D509" s="1150" t="s">
        <v>3655</v>
      </c>
      <c r="E509" s="1151"/>
      <c r="F509" s="16"/>
      <c r="G509" s="164"/>
      <c r="H509" s="127">
        <f>INT(G504*0.03*100)/100</f>
        <v>2.25</v>
      </c>
    </row>
    <row r="510" spans="1:8" ht="15.75">
      <c r="E510" s="42"/>
      <c r="F510" s="42" t="s">
        <v>1708</v>
      </c>
      <c r="G510" s="107"/>
      <c r="H510" s="103">
        <f>SUM(H504:H509)</f>
        <v>7406.62</v>
      </c>
    </row>
    <row r="511" spans="1:8" ht="15.75">
      <c r="B511" s="1" t="s">
        <v>3658</v>
      </c>
      <c r="E511" s="42"/>
      <c r="F511" s="42" t="s">
        <v>1689</v>
      </c>
      <c r="G511" s="107"/>
      <c r="H511" s="103">
        <f>FLOOR(H510*0.15,0.01)</f>
        <v>1110.99</v>
      </c>
    </row>
    <row r="512" spans="1:8" ht="15.75">
      <c r="A512" s="28" t="s">
        <v>3384</v>
      </c>
      <c r="B512" s="103">
        <f>+H512</f>
        <v>8517.61</v>
      </c>
      <c r="C512" s="1" t="s">
        <v>3385</v>
      </c>
      <c r="E512" s="42"/>
      <c r="F512" s="42" t="s">
        <v>1711</v>
      </c>
      <c r="G512" s="107"/>
      <c r="H512" s="103">
        <f>SUM(H510:H511)</f>
        <v>8517.61</v>
      </c>
    </row>
    <row r="513" spans="1:8" ht="15.75">
      <c r="A513" s="28"/>
      <c r="B513" s="151"/>
      <c r="E513" s="42"/>
      <c r="F513" s="42"/>
      <c r="G513" s="107"/>
      <c r="H513" s="151"/>
    </row>
    <row r="514" spans="1:8" ht="15.75">
      <c r="A514" s="28"/>
      <c r="B514" s="151"/>
      <c r="E514" s="42"/>
      <c r="F514" s="42"/>
      <c r="G514" s="107"/>
      <c r="H514" s="151"/>
    </row>
    <row r="515" spans="1:8" ht="15.75">
      <c r="A515" s="28"/>
      <c r="B515" s="151"/>
      <c r="E515" s="42"/>
      <c r="F515" s="42"/>
      <c r="G515" s="107"/>
      <c r="H515" s="151"/>
    </row>
    <row r="516" spans="1:8" ht="15.75">
      <c r="A516" s="28"/>
      <c r="B516" s="151"/>
      <c r="E516" s="42"/>
      <c r="F516" s="42"/>
      <c r="G516" s="107"/>
      <c r="H516" s="151"/>
    </row>
    <row r="517" spans="1:8" ht="15.75">
      <c r="A517" s="28"/>
      <c r="B517" s="151"/>
      <c r="E517" s="42"/>
      <c r="F517" s="42"/>
      <c r="G517" s="107"/>
      <c r="H517" s="151"/>
    </row>
    <row r="518" spans="1:8" ht="15.75">
      <c r="A518" s="28"/>
      <c r="B518" s="151"/>
      <c r="E518" s="42"/>
      <c r="F518" s="42"/>
      <c r="G518" s="107"/>
      <c r="H518" s="151"/>
    </row>
    <row r="519" spans="1:8" ht="15.75">
      <c r="A519" s="28"/>
      <c r="B519" s="151"/>
      <c r="E519" s="42"/>
      <c r="F519" s="42"/>
      <c r="G519" s="107"/>
      <c r="H519" s="151"/>
    </row>
    <row r="520" spans="1:8" ht="15.75">
      <c r="B520" s="33"/>
      <c r="E520" s="42"/>
      <c r="F520" s="42"/>
      <c r="G520" s="42"/>
      <c r="H520" s="19"/>
    </row>
    <row r="522" spans="1:8" ht="19.5">
      <c r="A522" s="282">
        <f>+A497+1</f>
        <v>33</v>
      </c>
      <c r="B522" s="1089" t="s">
        <v>2085</v>
      </c>
      <c r="C522" s="1089"/>
      <c r="D522" s="1089"/>
      <c r="E522" s="1089"/>
      <c r="F522" s="1089"/>
      <c r="G522" s="1089"/>
      <c r="H522" s="1089"/>
    </row>
    <row r="523" spans="1:8" ht="19.5">
      <c r="A523" s="688" t="s">
        <v>4377</v>
      </c>
      <c r="B523" s="1089" t="s">
        <v>2936</v>
      </c>
      <c r="C523" s="1089"/>
      <c r="D523" s="1089"/>
      <c r="E523" s="1089"/>
      <c r="F523" s="1089"/>
      <c r="G523" s="1089"/>
      <c r="H523" s="1089"/>
    </row>
    <row r="524" spans="1:8" ht="19.5">
      <c r="A524" s="22" t="s">
        <v>1645</v>
      </c>
      <c r="B524" s="1089" t="s">
        <v>2509</v>
      </c>
      <c r="C524" s="1089"/>
      <c r="D524" s="1089"/>
      <c r="E524" s="1089"/>
      <c r="F524" s="1089"/>
      <c r="G524" s="1089"/>
      <c r="H524" s="1089"/>
    </row>
    <row r="525" spans="1:8">
      <c r="B525" s="1092" t="s">
        <v>2529</v>
      </c>
      <c r="C525" s="1092"/>
      <c r="D525" s="1092"/>
      <c r="E525" s="1092"/>
      <c r="F525" s="1092"/>
      <c r="G525" s="1092"/>
      <c r="H525" s="1092"/>
    </row>
    <row r="526" spans="1:8" ht="31.5">
      <c r="B526" s="70" t="s">
        <v>3340</v>
      </c>
      <c r="C526" s="70" t="s">
        <v>3341</v>
      </c>
      <c r="D526" s="70" t="s">
        <v>3342</v>
      </c>
      <c r="E526" s="70" t="s">
        <v>3343</v>
      </c>
      <c r="F526" s="70" t="s">
        <v>3344</v>
      </c>
      <c r="G526" s="70" t="s">
        <v>3345</v>
      </c>
      <c r="H526" s="70" t="s">
        <v>1704</v>
      </c>
    </row>
    <row r="527" spans="1:8" ht="17.25">
      <c r="B527" s="1069" t="s">
        <v>1705</v>
      </c>
      <c r="C527" s="60" t="s">
        <v>610</v>
      </c>
      <c r="D527" s="43">
        <v>1.5</v>
      </c>
      <c r="E527" s="57" t="s">
        <v>1707</v>
      </c>
      <c r="F527" s="111">
        <f>'update Rate'!F5</f>
        <v>525</v>
      </c>
      <c r="G527" s="114">
        <f t="shared" ref="G527:G533" si="11">FLOOR(D527*F527,0.01)</f>
        <v>787.5</v>
      </c>
      <c r="H527" s="112"/>
    </row>
    <row r="528" spans="1:8" ht="20.100000000000001" customHeight="1">
      <c r="B528" s="1095"/>
      <c r="C528" s="55" t="s">
        <v>1647</v>
      </c>
      <c r="D528" s="44">
        <v>2.2000000000000002</v>
      </c>
      <c r="E528" s="55" t="s">
        <v>1707</v>
      </c>
      <c r="F528" s="113">
        <f>'update Rate'!F4</f>
        <v>375</v>
      </c>
      <c r="G528" s="113">
        <f t="shared" si="11"/>
        <v>825</v>
      </c>
      <c r="H528" s="9"/>
    </row>
    <row r="529" spans="1:8" ht="20.100000000000001" customHeight="1">
      <c r="B529" s="1070"/>
      <c r="C529" s="58" t="s">
        <v>1648</v>
      </c>
      <c r="D529" s="45">
        <v>0.7</v>
      </c>
      <c r="E529" s="58" t="s">
        <v>1707</v>
      </c>
      <c r="F529" s="65">
        <f>'update Rate'!F4</f>
        <v>375</v>
      </c>
      <c r="G529" s="65">
        <f t="shared" si="11"/>
        <v>262.5</v>
      </c>
      <c r="H529" s="125">
        <f>SUM(G527+G528+G529)</f>
        <v>1875</v>
      </c>
    </row>
    <row r="530" spans="1:8" ht="20.100000000000001" customHeight="1">
      <c r="B530" s="76"/>
      <c r="C530" s="57" t="s">
        <v>1649</v>
      </c>
      <c r="D530" s="47">
        <v>560</v>
      </c>
      <c r="E530" s="57" t="s">
        <v>803</v>
      </c>
      <c r="F530" s="114">
        <f>'update Rate'!F10</f>
        <v>7.5</v>
      </c>
      <c r="G530" s="114">
        <f t="shared" si="11"/>
        <v>4200</v>
      </c>
      <c r="H530" s="112"/>
    </row>
    <row r="531" spans="1:8" ht="20.100000000000001" customHeight="1">
      <c r="B531" s="55" t="s">
        <v>2330</v>
      </c>
      <c r="C531" s="55" t="s">
        <v>1650</v>
      </c>
      <c r="D531" s="44">
        <v>7.0000000000000007E-2</v>
      </c>
      <c r="E531" s="55" t="s">
        <v>804</v>
      </c>
      <c r="F531" s="113">
        <f>'update Rate'!F15</f>
        <v>14200</v>
      </c>
      <c r="G531" s="113">
        <f t="shared" si="11"/>
        <v>994</v>
      </c>
      <c r="H531" s="9"/>
    </row>
    <row r="532" spans="1:8" ht="20.100000000000001" customHeight="1">
      <c r="B532" s="55"/>
      <c r="C532" s="55" t="s">
        <v>801</v>
      </c>
      <c r="D532" s="44">
        <v>0.3</v>
      </c>
      <c r="E532" s="55" t="s">
        <v>2530</v>
      </c>
      <c r="F532" s="113">
        <f>'update Rate'!F8</f>
        <v>1659.57</v>
      </c>
      <c r="G532" s="113">
        <f t="shared" si="11"/>
        <v>497.87</v>
      </c>
      <c r="H532" s="9"/>
    </row>
    <row r="533" spans="1:8" ht="20.100000000000001" customHeight="1">
      <c r="B533" s="75"/>
      <c r="C533" s="58" t="s">
        <v>3749</v>
      </c>
      <c r="D533" s="45">
        <v>100</v>
      </c>
      <c r="E533" s="58" t="s">
        <v>3750</v>
      </c>
      <c r="F533" s="65">
        <f>'update Rate'!F508</f>
        <v>0.25</v>
      </c>
      <c r="G533" s="65">
        <f t="shared" si="11"/>
        <v>25</v>
      </c>
      <c r="H533" s="675">
        <f>SUM(G530:G533)</f>
        <v>5716.87</v>
      </c>
    </row>
    <row r="534" spans="1:8" ht="20.100000000000001" customHeight="1">
      <c r="B534" s="64"/>
      <c r="C534" s="66" t="s">
        <v>802</v>
      </c>
      <c r="D534" s="77" t="s">
        <v>3655</v>
      </c>
      <c r="E534" s="13"/>
      <c r="F534" s="16"/>
      <c r="G534" s="164"/>
      <c r="H534" s="127">
        <f>INT(G529*0.03*100)/100</f>
        <v>7.87</v>
      </c>
    </row>
    <row r="535" spans="1:8" ht="20.100000000000001" customHeight="1">
      <c r="F535" s="42" t="s">
        <v>1708</v>
      </c>
      <c r="G535" s="107"/>
      <c r="H535" s="103">
        <f>SUM(H529:H534)</f>
        <v>7599.74</v>
      </c>
    </row>
    <row r="536" spans="1:8" ht="20.100000000000001" customHeight="1">
      <c r="B536" s="1" t="s">
        <v>3658</v>
      </c>
      <c r="F536" s="42" t="s">
        <v>1689</v>
      </c>
      <c r="G536" s="107"/>
      <c r="H536" s="103">
        <f>FLOOR((H535*0.15*100)/100,0.01)</f>
        <v>1139.96</v>
      </c>
    </row>
    <row r="537" spans="1:8" ht="20.100000000000001" customHeight="1">
      <c r="A537" s="28" t="s">
        <v>3384</v>
      </c>
      <c r="B537" s="103">
        <f>+H537</f>
        <v>8739.7000000000007</v>
      </c>
      <c r="C537" s="1" t="s">
        <v>3385</v>
      </c>
      <c r="F537" s="42" t="s">
        <v>1711</v>
      </c>
      <c r="G537" s="107"/>
      <c r="H537" s="103">
        <f>SUM(H535:H536)</f>
        <v>8739.7000000000007</v>
      </c>
    </row>
    <row r="538" spans="1:8" ht="20.100000000000001" customHeight="1">
      <c r="B538" s="33"/>
      <c r="H538" s="19"/>
    </row>
    <row r="539" spans="1:8" ht="19.5">
      <c r="A539" s="282">
        <f>+A522+1</f>
        <v>34</v>
      </c>
      <c r="B539" s="1089" t="s">
        <v>2993</v>
      </c>
      <c r="C539" s="1089"/>
      <c r="D539" s="1089"/>
      <c r="E539" s="1089"/>
      <c r="F539" s="1089"/>
      <c r="G539" s="1089"/>
      <c r="H539" s="1089"/>
    </row>
    <row r="540" spans="1:8" ht="19.5">
      <c r="A540" s="688" t="s">
        <v>4377</v>
      </c>
      <c r="B540" s="1089" t="s">
        <v>2088</v>
      </c>
      <c r="C540" s="1089"/>
      <c r="D540" s="1089"/>
      <c r="E540" s="1089"/>
      <c r="F540" s="1089"/>
      <c r="G540" s="1089"/>
      <c r="H540" s="1089"/>
    </row>
    <row r="541" spans="1:8" ht="19.5">
      <c r="A541" s="22" t="s">
        <v>1646</v>
      </c>
      <c r="B541" s="1089" t="s">
        <v>2089</v>
      </c>
      <c r="C541" s="1089"/>
      <c r="D541" s="1089"/>
      <c r="E541" s="1089"/>
      <c r="F541" s="1089"/>
      <c r="G541" s="1089"/>
      <c r="H541" s="1089"/>
    </row>
    <row r="542" spans="1:8">
      <c r="B542" s="1092" t="s">
        <v>2529</v>
      </c>
      <c r="C542" s="1092"/>
      <c r="D542" s="1092"/>
      <c r="E542" s="1092"/>
      <c r="F542" s="1092"/>
      <c r="G542" s="1092"/>
      <c r="H542" s="1092"/>
    </row>
    <row r="543" spans="1:8" ht="31.5">
      <c r="B543" s="70" t="s">
        <v>3340</v>
      </c>
      <c r="C543" s="70" t="s">
        <v>3341</v>
      </c>
      <c r="D543" s="70" t="s">
        <v>3342</v>
      </c>
      <c r="E543" s="70" t="s">
        <v>3343</v>
      </c>
      <c r="F543" s="70" t="s">
        <v>3344</v>
      </c>
      <c r="G543" s="70" t="s">
        <v>3345</v>
      </c>
      <c r="H543" s="70" t="s">
        <v>1704</v>
      </c>
    </row>
    <row r="544" spans="1:8" ht="16.5">
      <c r="B544" s="1069" t="s">
        <v>1705</v>
      </c>
      <c r="C544" s="60" t="s">
        <v>610</v>
      </c>
      <c r="D544" s="47">
        <v>1</v>
      </c>
      <c r="E544" s="11" t="s">
        <v>1707</v>
      </c>
      <c r="F544" s="111">
        <f>'update Rate'!F5</f>
        <v>525</v>
      </c>
      <c r="G544" s="114">
        <f t="shared" ref="G544:G549" si="12">FLOOR(D544*F544,0.01)</f>
        <v>525</v>
      </c>
      <c r="H544" s="112"/>
    </row>
    <row r="545" spans="1:8" ht="17.25">
      <c r="B545" s="1095"/>
      <c r="C545" s="55" t="s">
        <v>1647</v>
      </c>
      <c r="D545" s="44">
        <v>1.7</v>
      </c>
      <c r="E545" s="55" t="s">
        <v>1707</v>
      </c>
      <c r="F545" s="113">
        <f>'update Rate'!F4</f>
        <v>375</v>
      </c>
      <c r="G545" s="113">
        <f t="shared" si="12"/>
        <v>637.5</v>
      </c>
      <c r="H545" s="9"/>
    </row>
    <row r="546" spans="1:8" ht="20.100000000000001" customHeight="1">
      <c r="B546" s="1070"/>
      <c r="C546" s="58" t="s">
        <v>1648</v>
      </c>
      <c r="D546" s="45">
        <v>0.2</v>
      </c>
      <c r="E546" s="58" t="s">
        <v>1707</v>
      </c>
      <c r="F546" s="113">
        <f>'update Rate'!F4</f>
        <v>375</v>
      </c>
      <c r="G546" s="65">
        <f t="shared" si="12"/>
        <v>75</v>
      </c>
      <c r="H546" s="127">
        <f>SUM(G544+G545+G546)</f>
        <v>1237.5</v>
      </c>
    </row>
    <row r="547" spans="1:8" ht="20.100000000000001" customHeight="1">
      <c r="B547" s="76"/>
      <c r="C547" s="57" t="s">
        <v>1649</v>
      </c>
      <c r="D547" s="47">
        <v>560</v>
      </c>
      <c r="E547" s="57" t="s">
        <v>803</v>
      </c>
      <c r="F547" s="114">
        <f>'update Rate'!F10</f>
        <v>7.5</v>
      </c>
      <c r="G547" s="114">
        <f t="shared" si="12"/>
        <v>4200</v>
      </c>
      <c r="H547" s="112"/>
    </row>
    <row r="548" spans="1:8" ht="20.100000000000001" customHeight="1">
      <c r="B548" s="75"/>
      <c r="C548" s="55" t="s">
        <v>2090</v>
      </c>
      <c r="D548" s="44">
        <v>0.42</v>
      </c>
      <c r="E548" s="55" t="s">
        <v>2530</v>
      </c>
      <c r="F548" s="113">
        <f>'update Rate'!F17</f>
        <v>220</v>
      </c>
      <c r="G548" s="113">
        <f t="shared" si="12"/>
        <v>92.4</v>
      </c>
      <c r="H548" s="674"/>
    </row>
    <row r="549" spans="1:8" ht="20.100000000000001" customHeight="1">
      <c r="B549" s="55" t="s">
        <v>2330</v>
      </c>
      <c r="C549" s="55" t="s">
        <v>3749</v>
      </c>
      <c r="D549" s="44">
        <v>100</v>
      </c>
      <c r="E549" s="55" t="s">
        <v>3750</v>
      </c>
      <c r="F549" s="65">
        <f>'update Rate'!F508</f>
        <v>0.25</v>
      </c>
      <c r="G549" s="113">
        <f t="shared" si="12"/>
        <v>25</v>
      </c>
      <c r="H549" s="675">
        <f>SUM(G547:G549)</f>
        <v>4317.3999999999996</v>
      </c>
    </row>
    <row r="550" spans="1:8" ht="20.100000000000001" customHeight="1">
      <c r="B550" s="64"/>
      <c r="C550" s="66" t="s">
        <v>802</v>
      </c>
      <c r="D550" s="1132" t="s">
        <v>3249</v>
      </c>
      <c r="E550" s="1133"/>
      <c r="F550" s="16"/>
      <c r="G550" s="164"/>
      <c r="H550" s="127">
        <f>INT(G546*0.03*100)/100</f>
        <v>2.25</v>
      </c>
    </row>
    <row r="551" spans="1:8" ht="20.100000000000001" customHeight="1">
      <c r="F551" s="42" t="s">
        <v>1708</v>
      </c>
      <c r="G551" s="129"/>
      <c r="H551" s="103">
        <f>SUM(H546:H550)</f>
        <v>5557.15</v>
      </c>
    </row>
    <row r="552" spans="1:8" ht="15.75">
      <c r="B552" s="1" t="s">
        <v>3658</v>
      </c>
      <c r="F552" s="42" t="s">
        <v>1689</v>
      </c>
      <c r="G552" s="107"/>
      <c r="H552" s="103">
        <f>FLOOR(H551*0.15,0.01)</f>
        <v>833.57</v>
      </c>
    </row>
    <row r="553" spans="1:8" ht="15.75">
      <c r="A553" s="28" t="s">
        <v>3384</v>
      </c>
      <c r="B553" s="103">
        <f>+H553</f>
        <v>6390.7199999999993</v>
      </c>
      <c r="C553" s="1" t="s">
        <v>3385</v>
      </c>
      <c r="F553" s="42" t="s">
        <v>1711</v>
      </c>
      <c r="G553" s="107"/>
      <c r="H553" s="103">
        <f>SUM(H551:H552)</f>
        <v>6390.7199999999993</v>
      </c>
    </row>
    <row r="554" spans="1:8" ht="15.75">
      <c r="A554" s="28"/>
      <c r="B554" s="151"/>
      <c r="F554" s="42"/>
      <c r="G554" s="107"/>
      <c r="H554" s="151"/>
    </row>
    <row r="555" spans="1:8" ht="15.75">
      <c r="A555" s="28"/>
      <c r="B555" s="151"/>
      <c r="F555" s="42"/>
      <c r="G555" s="107"/>
      <c r="H555" s="151"/>
    </row>
    <row r="556" spans="1:8" ht="15.75">
      <c r="A556" s="28"/>
      <c r="B556" s="151"/>
      <c r="F556" s="42"/>
      <c r="G556" s="107"/>
      <c r="H556" s="151"/>
    </row>
    <row r="557" spans="1:8" ht="15.75">
      <c r="A557" s="28"/>
      <c r="B557" s="151"/>
      <c r="F557" s="42"/>
      <c r="G557" s="107"/>
      <c r="H557" s="151"/>
    </row>
    <row r="558" spans="1:8">
      <c r="G558" s="107"/>
    </row>
    <row r="559" spans="1:8" ht="19.5">
      <c r="A559" s="282">
        <f>+A539+1</f>
        <v>35</v>
      </c>
      <c r="B559" s="1089" t="s">
        <v>3767</v>
      </c>
      <c r="C559" s="1089"/>
      <c r="D559" s="1089"/>
      <c r="E559" s="1089"/>
      <c r="F559" s="1089"/>
      <c r="G559" s="1089"/>
      <c r="H559" s="1089"/>
    </row>
    <row r="560" spans="1:8" ht="19.5">
      <c r="A560" s="688" t="s">
        <v>3766</v>
      </c>
      <c r="B560" s="1089" t="s">
        <v>3768</v>
      </c>
      <c r="C560" s="1089"/>
      <c r="D560" s="1089"/>
      <c r="E560" s="1089"/>
      <c r="F560" s="1089"/>
      <c r="G560" s="1089"/>
      <c r="H560" s="1089"/>
    </row>
    <row r="561" spans="1:8" ht="19.5">
      <c r="A561" s="695"/>
      <c r="B561" s="1089" t="s">
        <v>2089</v>
      </c>
      <c r="C561" s="1089"/>
      <c r="D561" s="1089"/>
      <c r="E561" s="1089"/>
      <c r="F561" s="1089"/>
      <c r="G561" s="1089"/>
      <c r="H561" s="1089"/>
    </row>
    <row r="562" spans="1:8">
      <c r="B562" s="1092" t="s">
        <v>2773</v>
      </c>
      <c r="C562" s="1092"/>
      <c r="D562" s="1092"/>
      <c r="E562" s="1092"/>
      <c r="F562" s="1092"/>
      <c r="G562" s="1092"/>
      <c r="H562" s="1092"/>
    </row>
    <row r="563" spans="1:8" ht="31.5">
      <c r="B563" s="70" t="s">
        <v>3340</v>
      </c>
      <c r="C563" s="70" t="s">
        <v>3341</v>
      </c>
      <c r="D563" s="70" t="s">
        <v>3342</v>
      </c>
      <c r="E563" s="70" t="s">
        <v>3343</v>
      </c>
      <c r="F563" s="70" t="s">
        <v>3344</v>
      </c>
      <c r="G563" s="70" t="s">
        <v>3345</v>
      </c>
      <c r="H563" s="70" t="s">
        <v>1704</v>
      </c>
    </row>
    <row r="564" spans="1:8" ht="16.5">
      <c r="B564" s="1069" t="s">
        <v>1705</v>
      </c>
      <c r="C564" s="669" t="s">
        <v>610</v>
      </c>
      <c r="D564" s="43">
        <v>1.91</v>
      </c>
      <c r="E564" s="11" t="s">
        <v>1707</v>
      </c>
      <c r="F564" s="111">
        <f>'update Rate'!F5</f>
        <v>525</v>
      </c>
      <c r="G564" s="114">
        <f t="shared" ref="G564:G572" si="13">FLOOR(D564*F564,0.01)</f>
        <v>1002.75</v>
      </c>
      <c r="H564" s="673"/>
    </row>
    <row r="565" spans="1:8" ht="17.25">
      <c r="B565" s="1095"/>
      <c r="C565" s="55" t="s">
        <v>1647</v>
      </c>
      <c r="D565" s="44">
        <v>2.4500000000000002</v>
      </c>
      <c r="E565" s="55" t="s">
        <v>1707</v>
      </c>
      <c r="F565" s="113">
        <f>'update Rate'!F4</f>
        <v>375</v>
      </c>
      <c r="G565" s="113">
        <f t="shared" si="13"/>
        <v>918.75</v>
      </c>
      <c r="H565" s="9"/>
    </row>
    <row r="566" spans="1:8" ht="20.100000000000001" customHeight="1">
      <c r="B566" s="1070"/>
      <c r="C566" s="58" t="s">
        <v>1648</v>
      </c>
      <c r="D566" s="45">
        <v>0.2</v>
      </c>
      <c r="E566" s="58" t="s">
        <v>1707</v>
      </c>
      <c r="F566" s="113">
        <f>'update Rate'!F4</f>
        <v>375</v>
      </c>
      <c r="G566" s="65">
        <f t="shared" si="13"/>
        <v>75</v>
      </c>
      <c r="H566" s="675">
        <f>SUM(G564+G565+G566)</f>
        <v>1996.5</v>
      </c>
    </row>
    <row r="567" spans="1:8" ht="20.100000000000001" customHeight="1">
      <c r="B567" s="676"/>
      <c r="C567" s="57" t="s">
        <v>3769</v>
      </c>
      <c r="D567" s="50">
        <v>79.7</v>
      </c>
      <c r="E567" s="57" t="s">
        <v>803</v>
      </c>
      <c r="F567" s="854">
        <f>'update Rate'!F266</f>
        <v>25</v>
      </c>
      <c r="G567" s="114">
        <f t="shared" si="13"/>
        <v>1992.5</v>
      </c>
      <c r="H567" s="674"/>
    </row>
    <row r="568" spans="1:8" ht="20.100000000000001" customHeight="1">
      <c r="B568" s="1094" t="s">
        <v>2330</v>
      </c>
      <c r="C568" s="55" t="s">
        <v>1650</v>
      </c>
      <c r="D568" s="44">
        <v>0.04</v>
      </c>
      <c r="E568" s="55" t="s">
        <v>804</v>
      </c>
      <c r="F568" s="585">
        <f>'update Rate'!F15</f>
        <v>14200</v>
      </c>
      <c r="G568" s="113">
        <f t="shared" si="13"/>
        <v>568</v>
      </c>
      <c r="H568" s="674"/>
    </row>
    <row r="569" spans="1:8" ht="20.100000000000001" customHeight="1">
      <c r="B569" s="1094"/>
      <c r="C569" s="55" t="s">
        <v>1508</v>
      </c>
      <c r="D569" s="44">
        <v>0.17</v>
      </c>
      <c r="E569" s="55" t="s">
        <v>2530</v>
      </c>
      <c r="F569" s="585">
        <f>'update Rate'!F8</f>
        <v>1659.57</v>
      </c>
      <c r="G569" s="113">
        <f t="shared" si="13"/>
        <v>282.12</v>
      </c>
      <c r="H569" s="674"/>
    </row>
    <row r="570" spans="1:8" ht="20.100000000000001" customHeight="1">
      <c r="B570" s="1094"/>
      <c r="C570" s="55" t="s">
        <v>2086</v>
      </c>
      <c r="D570" s="54">
        <v>2.1999999999999999E-2</v>
      </c>
      <c r="E570" s="1032" t="s">
        <v>3420</v>
      </c>
      <c r="F570" s="585">
        <f>'update Rate'!F313</f>
        <v>16</v>
      </c>
      <c r="G570" s="113">
        <f t="shared" si="13"/>
        <v>0.35000000000000003</v>
      </c>
      <c r="H570" s="674"/>
    </row>
    <row r="571" spans="1:8" ht="20.100000000000001" customHeight="1">
      <c r="B571" s="1094"/>
      <c r="C571" s="55" t="s">
        <v>1114</v>
      </c>
      <c r="D571" s="54">
        <v>2.1999999999999999E-2</v>
      </c>
      <c r="E571" s="55" t="s">
        <v>2530</v>
      </c>
      <c r="F571" s="585">
        <f>'update Rate'!F143</f>
        <v>1121.49</v>
      </c>
      <c r="G571" s="113">
        <f t="shared" si="13"/>
        <v>24.67</v>
      </c>
      <c r="H571" s="674"/>
    </row>
    <row r="572" spans="1:8" ht="20.100000000000001" customHeight="1">
      <c r="B572" s="1094"/>
      <c r="C572" s="55" t="s">
        <v>3749</v>
      </c>
      <c r="D572" s="44">
        <v>78</v>
      </c>
      <c r="E572" s="55" t="s">
        <v>3750</v>
      </c>
      <c r="F572" s="65">
        <f>'update Rate'!F508</f>
        <v>0.25</v>
      </c>
      <c r="G572" s="113">
        <f t="shared" si="13"/>
        <v>19.5</v>
      </c>
      <c r="H572" s="675">
        <f>G572+G571+G570+G569+G568+G567</f>
        <v>2887.14</v>
      </c>
    </row>
    <row r="573" spans="1:8" ht="20.100000000000001" customHeight="1">
      <c r="B573" s="64"/>
      <c r="C573" s="66" t="s">
        <v>802</v>
      </c>
      <c r="D573" s="1132" t="s">
        <v>3249</v>
      </c>
      <c r="E573" s="1133"/>
      <c r="F573" s="16"/>
      <c r="G573" s="164"/>
      <c r="H573" s="675">
        <f>INT(G566*0.03*100)/100</f>
        <v>2.25</v>
      </c>
    </row>
    <row r="574" spans="1:8" ht="20.100000000000001" customHeight="1">
      <c r="F574" s="42" t="s">
        <v>1708</v>
      </c>
      <c r="G574" s="129"/>
      <c r="H574" s="103">
        <f>SUM(H566:H573)</f>
        <v>4885.8899999999994</v>
      </c>
    </row>
    <row r="575" spans="1:8" ht="15.75">
      <c r="B575" s="1" t="s">
        <v>1710</v>
      </c>
      <c r="F575" s="42" t="s">
        <v>1689</v>
      </c>
      <c r="G575" s="107"/>
      <c r="H575" s="103">
        <f>FLOOR(H574*0.15,0.01)</f>
        <v>732.88</v>
      </c>
    </row>
    <row r="576" spans="1:8" ht="15.75">
      <c r="A576" s="28" t="s">
        <v>3384</v>
      </c>
      <c r="B576" s="103">
        <f>+H576/10</f>
        <v>561.87699999999995</v>
      </c>
      <c r="C576" s="1" t="s">
        <v>3385</v>
      </c>
      <c r="F576" s="42" t="s">
        <v>1711</v>
      </c>
      <c r="G576" s="107"/>
      <c r="H576" s="103">
        <f>SUM(H574:H575)</f>
        <v>5618.7699999999995</v>
      </c>
    </row>
    <row r="577" spans="1:8" ht="20.100000000000001" customHeight="1">
      <c r="B577" s="33"/>
      <c r="G577" s="107"/>
      <c r="H577" s="128"/>
    </row>
    <row r="578" spans="1:8" ht="19.5">
      <c r="A578" s="282">
        <f>+A559+1</f>
        <v>36</v>
      </c>
      <c r="B578" s="1089" t="s">
        <v>3771</v>
      </c>
      <c r="C578" s="1089"/>
      <c r="D578" s="1089"/>
      <c r="E578" s="1089"/>
      <c r="F578" s="1089"/>
      <c r="G578" s="1089"/>
      <c r="H578" s="1089"/>
    </row>
    <row r="579" spans="1:8" ht="19.5">
      <c r="A579" s="688" t="s">
        <v>3770</v>
      </c>
      <c r="B579" s="1089" t="s">
        <v>3772</v>
      </c>
      <c r="C579" s="1089"/>
      <c r="D579" s="1089"/>
      <c r="E579" s="1089"/>
      <c r="F579" s="1089"/>
      <c r="G579" s="1089"/>
      <c r="H579" s="1089"/>
    </row>
    <row r="580" spans="1:8" ht="19.5">
      <c r="A580" s="695"/>
      <c r="B580" s="1089" t="s">
        <v>2089</v>
      </c>
      <c r="C580" s="1089"/>
      <c r="D580" s="1089"/>
      <c r="E580" s="1089"/>
      <c r="F580" s="1089"/>
      <c r="G580" s="1089"/>
      <c r="H580" s="1089"/>
    </row>
    <row r="581" spans="1:8">
      <c r="B581" s="1092" t="s">
        <v>2529</v>
      </c>
      <c r="C581" s="1092"/>
      <c r="D581" s="1092"/>
      <c r="E581" s="1092"/>
      <c r="F581" s="1092"/>
      <c r="G581" s="1092"/>
      <c r="H581" s="1092"/>
    </row>
    <row r="582" spans="1:8" ht="31.5">
      <c r="B582" s="70" t="s">
        <v>3340</v>
      </c>
      <c r="C582" s="70" t="s">
        <v>3341</v>
      </c>
      <c r="D582" s="70" t="s">
        <v>3342</v>
      </c>
      <c r="E582" s="70" t="s">
        <v>3343</v>
      </c>
      <c r="F582" s="70" t="s">
        <v>3344</v>
      </c>
      <c r="G582" s="70" t="s">
        <v>3345</v>
      </c>
      <c r="H582" s="70" t="s">
        <v>1704</v>
      </c>
    </row>
    <row r="583" spans="1:8" ht="16.5">
      <c r="B583" s="1069" t="s">
        <v>1705</v>
      </c>
      <c r="C583" s="669" t="s">
        <v>610</v>
      </c>
      <c r="D583" s="43">
        <v>1.6</v>
      </c>
      <c r="E583" s="11" t="s">
        <v>1707</v>
      </c>
      <c r="F583" s="111">
        <f>'update Rate'!F5</f>
        <v>525</v>
      </c>
      <c r="G583" s="114">
        <f t="shared" ref="G583:G589" si="14">FLOOR(D583*F583,0.01)</f>
        <v>840</v>
      </c>
      <c r="H583" s="673"/>
    </row>
    <row r="584" spans="1:8" ht="17.25">
      <c r="B584" s="1095"/>
      <c r="C584" s="55" t="s">
        <v>1647</v>
      </c>
      <c r="D584" s="44">
        <v>2.2000000000000002</v>
      </c>
      <c r="E584" s="55" t="s">
        <v>1707</v>
      </c>
      <c r="F584" s="113">
        <f>'update Rate'!F4</f>
        <v>375</v>
      </c>
      <c r="G584" s="113">
        <f t="shared" si="14"/>
        <v>825</v>
      </c>
      <c r="H584" s="9"/>
    </row>
    <row r="585" spans="1:8" ht="20.100000000000001" customHeight="1">
      <c r="B585" s="1070"/>
      <c r="C585" s="58" t="s">
        <v>1648</v>
      </c>
      <c r="D585" s="45">
        <v>0.2</v>
      </c>
      <c r="E585" s="58" t="s">
        <v>1707</v>
      </c>
      <c r="F585" s="113">
        <f>'update Rate'!F4</f>
        <v>375</v>
      </c>
      <c r="G585" s="65">
        <f t="shared" si="14"/>
        <v>75</v>
      </c>
      <c r="H585" s="675">
        <f>SUM(G583+G584+G585)</f>
        <v>1740</v>
      </c>
    </row>
    <row r="586" spans="1:8" ht="20.100000000000001" customHeight="1">
      <c r="B586" s="676"/>
      <c r="C586" s="57" t="s">
        <v>2623</v>
      </c>
      <c r="D586" s="50">
        <v>400</v>
      </c>
      <c r="E586" s="57" t="s">
        <v>803</v>
      </c>
      <c r="F586" s="114">
        <f>'update Rate'!F10</f>
        <v>7.5</v>
      </c>
      <c r="G586" s="114">
        <f t="shared" si="14"/>
        <v>3000</v>
      </c>
      <c r="H586" s="674"/>
    </row>
    <row r="587" spans="1:8" ht="20.100000000000001" customHeight="1">
      <c r="B587" s="1094" t="s">
        <v>2330</v>
      </c>
      <c r="C587" s="55" t="s">
        <v>1650</v>
      </c>
      <c r="D587" s="54">
        <v>3.5999999999999997E-2</v>
      </c>
      <c r="E587" s="55" t="s">
        <v>804</v>
      </c>
      <c r="F587" s="113">
        <f>'update Rate'!F15</f>
        <v>14200</v>
      </c>
      <c r="G587" s="113">
        <f t="shared" si="14"/>
        <v>511.2</v>
      </c>
      <c r="H587" s="674"/>
    </row>
    <row r="588" spans="1:8" ht="20.100000000000001" customHeight="1">
      <c r="B588" s="1094"/>
      <c r="C588" s="55" t="s">
        <v>1508</v>
      </c>
      <c r="D588" s="44">
        <v>0.15</v>
      </c>
      <c r="E588" s="55" t="s">
        <v>2530</v>
      </c>
      <c r="F588" s="113">
        <f>'update Rate'!F8</f>
        <v>1659.57</v>
      </c>
      <c r="G588" s="113">
        <f t="shared" si="14"/>
        <v>248.93</v>
      </c>
      <c r="H588" s="674"/>
    </row>
    <row r="589" spans="1:8" ht="20.100000000000001" customHeight="1">
      <c r="B589" s="1094"/>
      <c r="C589" s="55" t="s">
        <v>3749</v>
      </c>
      <c r="D589" s="44">
        <v>60</v>
      </c>
      <c r="E589" s="55" t="s">
        <v>3750</v>
      </c>
      <c r="F589" s="65">
        <f>'update Rate'!F508</f>
        <v>0.25</v>
      </c>
      <c r="G589" s="113">
        <f t="shared" si="14"/>
        <v>15</v>
      </c>
      <c r="H589" s="675">
        <f>SUM(G586:G589)</f>
        <v>3775.1299999999997</v>
      </c>
    </row>
    <row r="590" spans="1:8" ht="20.100000000000001" customHeight="1">
      <c r="B590" s="64"/>
      <c r="C590" s="66" t="s">
        <v>802</v>
      </c>
      <c r="D590" s="1132" t="s">
        <v>3249</v>
      </c>
      <c r="E590" s="1133"/>
      <c r="F590" s="16"/>
      <c r="G590" s="164"/>
      <c r="H590" s="675">
        <f>INT(G585*0.03*100)/100</f>
        <v>2.25</v>
      </c>
    </row>
    <row r="591" spans="1:8" ht="20.100000000000001" customHeight="1">
      <c r="F591" s="42" t="s">
        <v>1708</v>
      </c>
      <c r="G591" s="129"/>
      <c r="H591" s="103">
        <f>SUM(H585:H590)</f>
        <v>5517.3799999999992</v>
      </c>
    </row>
    <row r="592" spans="1:8" ht="15.75">
      <c r="B592" s="1" t="s">
        <v>3658</v>
      </c>
      <c r="F592" s="42" t="s">
        <v>1689</v>
      </c>
      <c r="G592" s="107"/>
      <c r="H592" s="103">
        <f>FLOOR(H591*0.15,0.01)</f>
        <v>827.6</v>
      </c>
    </row>
    <row r="593" spans="1:8" ht="15.75">
      <c r="A593" s="28" t="s">
        <v>3384</v>
      </c>
      <c r="B593" s="103">
        <f>+H593</f>
        <v>6344.98</v>
      </c>
      <c r="C593" s="1" t="s">
        <v>3385</v>
      </c>
      <c r="F593" s="42" t="s">
        <v>1711</v>
      </c>
      <c r="G593" s="107"/>
      <c r="H593" s="103">
        <f>SUM(H591:H592)</f>
        <v>6344.98</v>
      </c>
    </row>
    <row r="594" spans="1:8" ht="15.75">
      <c r="A594" s="28"/>
      <c r="B594" s="151"/>
      <c r="F594" s="42"/>
      <c r="G594" s="107"/>
      <c r="H594" s="151"/>
    </row>
    <row r="595" spans="1:8" ht="15.75">
      <c r="A595" s="28"/>
      <c r="B595" s="151"/>
      <c r="F595" s="42"/>
      <c r="G595" s="107"/>
      <c r="H595" s="151"/>
    </row>
    <row r="596" spans="1:8" ht="15.75">
      <c r="A596" s="28"/>
      <c r="B596" s="151"/>
      <c r="F596" s="42"/>
      <c r="G596" s="107"/>
      <c r="H596" s="151"/>
    </row>
    <row r="597" spans="1:8" ht="15.75">
      <c r="A597" s="28"/>
      <c r="B597" s="151"/>
      <c r="F597" s="42"/>
      <c r="G597" s="107"/>
      <c r="H597" s="151"/>
    </row>
    <row r="598" spans="1:8" ht="15.75">
      <c r="A598" s="28"/>
      <c r="B598" s="151"/>
      <c r="F598" s="42"/>
      <c r="G598" s="107"/>
      <c r="H598" s="151"/>
    </row>
    <row r="599" spans="1:8" ht="15.75">
      <c r="A599" s="28"/>
      <c r="B599" s="151"/>
      <c r="F599" s="42"/>
      <c r="G599" s="107"/>
      <c r="H599" s="151"/>
    </row>
    <row r="600" spans="1:8" ht="15.75">
      <c r="A600" s="28"/>
      <c r="B600" s="151"/>
      <c r="F600" s="42"/>
      <c r="G600" s="107"/>
      <c r="H600" s="151"/>
    </row>
    <row r="601" spans="1:8" ht="15.75">
      <c r="A601" s="28"/>
      <c r="B601" s="151"/>
      <c r="F601" s="42"/>
      <c r="G601" s="107"/>
      <c r="H601" s="151"/>
    </row>
    <row r="602" spans="1:8" ht="15.75">
      <c r="A602" s="28"/>
      <c r="B602" s="151"/>
      <c r="F602" s="42"/>
      <c r="G602" s="107"/>
      <c r="H602" s="151"/>
    </row>
    <row r="603" spans="1:8" ht="20.100000000000001" customHeight="1">
      <c r="B603" s="1089" t="s">
        <v>2092</v>
      </c>
      <c r="C603" s="1089"/>
      <c r="D603" s="1089"/>
      <c r="E603" s="1089"/>
      <c r="F603" s="1089"/>
      <c r="G603" s="1089"/>
      <c r="H603" s="1089"/>
    </row>
    <row r="604" spans="1:8" ht="20.100000000000001" customHeight="1">
      <c r="A604" s="282">
        <f>+A578+1</f>
        <v>37</v>
      </c>
      <c r="B604" s="1076" t="s">
        <v>2093</v>
      </c>
      <c r="C604" s="1089"/>
      <c r="D604" s="1089"/>
      <c r="E604" s="1089"/>
      <c r="F604" s="1089"/>
      <c r="G604" s="1089"/>
      <c r="H604" s="1089"/>
    </row>
    <row r="605" spans="1:8" ht="20.100000000000001" customHeight="1">
      <c r="A605" s="688" t="s">
        <v>4378</v>
      </c>
      <c r="B605" s="1076" t="s">
        <v>2365</v>
      </c>
      <c r="C605" s="1089"/>
      <c r="D605" s="1089"/>
      <c r="E605" s="1089"/>
      <c r="F605" s="1089"/>
      <c r="G605" s="1089"/>
      <c r="H605" s="1089"/>
    </row>
    <row r="606" spans="1:8">
      <c r="B606" s="1083" t="s">
        <v>2529</v>
      </c>
      <c r="C606" s="1083"/>
      <c r="D606" s="1083"/>
      <c r="E606" s="1083"/>
      <c r="F606" s="1083"/>
      <c r="G606" s="1083"/>
      <c r="H606" s="1083"/>
    </row>
    <row r="607" spans="1:8" ht="31.5">
      <c r="B607" s="70" t="s">
        <v>3340</v>
      </c>
      <c r="C607" s="70" t="s">
        <v>3341</v>
      </c>
      <c r="D607" s="70" t="s">
        <v>3342</v>
      </c>
      <c r="E607" s="70" t="s">
        <v>3343</v>
      </c>
      <c r="F607" s="70" t="s">
        <v>3344</v>
      </c>
      <c r="G607" s="70" t="s">
        <v>3345</v>
      </c>
      <c r="H607" s="70" t="s">
        <v>1704</v>
      </c>
    </row>
    <row r="608" spans="1:8" ht="17.25">
      <c r="B608" s="1069" t="s">
        <v>1705</v>
      </c>
      <c r="C608" s="669" t="s">
        <v>610</v>
      </c>
      <c r="D608" s="43">
        <v>1.5</v>
      </c>
      <c r="E608" s="57" t="s">
        <v>1707</v>
      </c>
      <c r="F608" s="111">
        <f>'update Rate'!F5</f>
        <v>525</v>
      </c>
      <c r="G608" s="114">
        <f t="shared" ref="G608:G614" si="15">FLOOR(D608*F608,0.01)</f>
        <v>787.5</v>
      </c>
      <c r="H608" s="673"/>
    </row>
    <row r="609" spans="1:8" ht="17.25">
      <c r="B609" s="1073"/>
      <c r="C609" s="55" t="s">
        <v>1647</v>
      </c>
      <c r="D609" s="44">
        <v>5</v>
      </c>
      <c r="E609" s="55" t="s">
        <v>1707</v>
      </c>
      <c r="F609" s="113">
        <f>'update Rate'!F4</f>
        <v>375</v>
      </c>
      <c r="G609" s="113">
        <f t="shared" si="15"/>
        <v>1875</v>
      </c>
      <c r="H609" s="674">
        <f>SUM(G608+G609)</f>
        <v>2662.5</v>
      </c>
    </row>
    <row r="610" spans="1:8" ht="20.100000000000001" customHeight="1">
      <c r="B610" s="1069" t="s">
        <v>2330</v>
      </c>
      <c r="C610" s="57" t="s">
        <v>1650</v>
      </c>
      <c r="D610" s="258">
        <v>0.19400000000000001</v>
      </c>
      <c r="E610" s="57" t="s">
        <v>804</v>
      </c>
      <c r="F610" s="114">
        <f>'update Rate'!F15</f>
        <v>14200</v>
      </c>
      <c r="G610" s="114">
        <f t="shared" si="15"/>
        <v>2754.8</v>
      </c>
      <c r="H610" s="673"/>
    </row>
    <row r="611" spans="1:8" ht="20.100000000000001" customHeight="1">
      <c r="B611" s="1094"/>
      <c r="C611" s="55" t="s">
        <v>801</v>
      </c>
      <c r="D611" s="259">
        <v>0.42</v>
      </c>
      <c r="E611" s="55" t="s">
        <v>2530</v>
      </c>
      <c r="F611" s="113">
        <f>'update Rate'!F8</f>
        <v>1659.57</v>
      </c>
      <c r="G611" s="113">
        <f t="shared" si="15"/>
        <v>697.01</v>
      </c>
      <c r="H611" s="674"/>
    </row>
    <row r="612" spans="1:8" ht="20.100000000000001" customHeight="1">
      <c r="B612" s="1094"/>
      <c r="C612" s="55" t="s">
        <v>2367</v>
      </c>
      <c r="D612" s="44">
        <v>1</v>
      </c>
      <c r="E612" s="55" t="s">
        <v>2530</v>
      </c>
      <c r="F612" s="113">
        <f>'update Rate'!F18</f>
        <v>1483.02</v>
      </c>
      <c r="G612" s="113">
        <f t="shared" si="15"/>
        <v>1483.02</v>
      </c>
      <c r="H612" s="9"/>
    </row>
    <row r="613" spans="1:8" ht="20.100000000000001" customHeight="1">
      <c r="B613" s="1094"/>
      <c r="C613" s="55" t="s">
        <v>2368</v>
      </c>
      <c r="D613" s="44">
        <v>0.1</v>
      </c>
      <c r="E613" s="55" t="s">
        <v>2530</v>
      </c>
      <c r="F613" s="113">
        <f>'update Rate'!F18</f>
        <v>1483.02</v>
      </c>
      <c r="G613" s="113">
        <f t="shared" si="15"/>
        <v>148.30000000000001</v>
      </c>
      <c r="H613" s="9"/>
    </row>
    <row r="614" spans="1:8" ht="20.100000000000001" customHeight="1">
      <c r="B614" s="1073"/>
      <c r="C614" s="58" t="s">
        <v>3749</v>
      </c>
      <c r="D614" s="45">
        <v>120</v>
      </c>
      <c r="E614" s="58" t="s">
        <v>3750</v>
      </c>
      <c r="F614" s="65">
        <f>'update Rate'!F508</f>
        <v>0.25</v>
      </c>
      <c r="G614" s="65">
        <f t="shared" si="15"/>
        <v>30</v>
      </c>
      <c r="H614" s="675">
        <f>SUM(G610:G614)</f>
        <v>5113.13</v>
      </c>
    </row>
    <row r="615" spans="1:8" ht="20.100000000000001" customHeight="1">
      <c r="F615" s="42" t="s">
        <v>1708</v>
      </c>
      <c r="G615" s="129"/>
      <c r="H615" s="675">
        <f>SUM(H614,H609)</f>
        <v>7775.63</v>
      </c>
    </row>
    <row r="616" spans="1:8" ht="15.75">
      <c r="B616" s="1" t="s">
        <v>3658</v>
      </c>
      <c r="F616" s="42" t="s">
        <v>1689</v>
      </c>
      <c r="G616" s="107"/>
      <c r="H616" s="103">
        <f>FLOOR(H615*0.15,0.01)</f>
        <v>1166.3399999999999</v>
      </c>
    </row>
    <row r="617" spans="1:8" ht="20.100000000000001" customHeight="1">
      <c r="A617" s="28" t="s">
        <v>3384</v>
      </c>
      <c r="B617" s="103">
        <f>+H617</f>
        <v>8941.9699999999993</v>
      </c>
      <c r="C617" s="1" t="s">
        <v>3385</v>
      </c>
      <c r="F617" s="42" t="s">
        <v>1711</v>
      </c>
      <c r="G617" s="107"/>
      <c r="H617" s="103">
        <f>SUM(H615:H616)</f>
        <v>8941.9699999999993</v>
      </c>
    </row>
    <row r="618" spans="1:8" ht="15.75">
      <c r="B618" s="33"/>
      <c r="F618" s="42"/>
      <c r="G618" s="107"/>
      <c r="H618" s="151"/>
    </row>
    <row r="619" spans="1:8">
      <c r="B619" s="33"/>
      <c r="H619" s="19"/>
    </row>
    <row r="620" spans="1:8" ht="19.5">
      <c r="B620" s="1089" t="s">
        <v>2092</v>
      </c>
      <c r="C620" s="1089"/>
      <c r="D620" s="1089"/>
      <c r="E620" s="1089"/>
      <c r="F620" s="1089"/>
      <c r="G620" s="1089"/>
      <c r="H620" s="1089"/>
    </row>
    <row r="621" spans="1:8" ht="19.5">
      <c r="A621" s="282">
        <f>+A604+1</f>
        <v>38</v>
      </c>
      <c r="B621" s="1076" t="s">
        <v>3629</v>
      </c>
      <c r="C621" s="1089"/>
      <c r="D621" s="1089"/>
      <c r="E621" s="1089"/>
      <c r="F621" s="1089"/>
      <c r="G621" s="1089"/>
      <c r="H621" s="1089"/>
    </row>
    <row r="622" spans="1:8" ht="19.5">
      <c r="A622" s="688" t="s">
        <v>4378</v>
      </c>
      <c r="B622" s="1089" t="s">
        <v>2365</v>
      </c>
      <c r="C622" s="1089"/>
      <c r="D622" s="1089"/>
      <c r="E622" s="1089"/>
      <c r="F622" s="1089"/>
      <c r="G622" s="1089"/>
      <c r="H622" s="1089"/>
    </row>
    <row r="623" spans="1:8">
      <c r="B623" s="1092" t="s">
        <v>2529</v>
      </c>
      <c r="C623" s="1092"/>
      <c r="D623" s="1092"/>
      <c r="E623" s="1092"/>
      <c r="F623" s="1092"/>
      <c r="G623" s="1092"/>
      <c r="H623" s="1092"/>
    </row>
    <row r="624" spans="1:8" ht="31.5" customHeight="1">
      <c r="B624" s="70" t="s">
        <v>3340</v>
      </c>
      <c r="C624" s="70" t="s">
        <v>3341</v>
      </c>
      <c r="D624" s="70" t="s">
        <v>3342</v>
      </c>
      <c r="E624" s="70" t="s">
        <v>3343</v>
      </c>
      <c r="F624" s="70" t="s">
        <v>3344</v>
      </c>
      <c r="G624" s="70" t="s">
        <v>3345</v>
      </c>
      <c r="H624" s="70" t="s">
        <v>1704</v>
      </c>
    </row>
    <row r="625" spans="1:8" ht="20.100000000000001" customHeight="1">
      <c r="B625" s="1127" t="s">
        <v>1705</v>
      </c>
      <c r="C625" s="14" t="s">
        <v>610</v>
      </c>
      <c r="D625" s="43">
        <v>1.5</v>
      </c>
      <c r="E625" s="57" t="s">
        <v>1707</v>
      </c>
      <c r="F625" s="111">
        <f>'update Rate'!F5</f>
        <v>525</v>
      </c>
      <c r="G625" s="114">
        <f t="shared" ref="G625:G631" si="16">FLOOR(D625*F625,0.01)</f>
        <v>787.5</v>
      </c>
      <c r="H625" s="112"/>
    </row>
    <row r="626" spans="1:8" ht="20.100000000000001" customHeight="1">
      <c r="B626" s="1070"/>
      <c r="C626" s="12" t="s">
        <v>1647</v>
      </c>
      <c r="D626" s="44">
        <v>5</v>
      </c>
      <c r="E626" s="55" t="s">
        <v>1707</v>
      </c>
      <c r="F626" s="113">
        <f>'update Rate'!F4</f>
        <v>375</v>
      </c>
      <c r="G626" s="113">
        <f t="shared" si="16"/>
        <v>1875</v>
      </c>
      <c r="H626" s="127">
        <f>SUM(G625:G626)</f>
        <v>2662.5</v>
      </c>
    </row>
    <row r="627" spans="1:8" ht="20.100000000000001" customHeight="1">
      <c r="B627" s="1127" t="s">
        <v>2330</v>
      </c>
      <c r="C627" s="11" t="s">
        <v>1650</v>
      </c>
      <c r="D627" s="258">
        <v>0.159</v>
      </c>
      <c r="E627" s="57" t="s">
        <v>804</v>
      </c>
      <c r="F627" s="114">
        <f>'update Rate'!F15</f>
        <v>14200</v>
      </c>
      <c r="G627" s="114">
        <f t="shared" si="16"/>
        <v>2257.8000000000002</v>
      </c>
      <c r="H627" s="112"/>
    </row>
    <row r="628" spans="1:8" ht="20.100000000000001" customHeight="1">
      <c r="B628" s="1157"/>
      <c r="C628" s="12" t="s">
        <v>801</v>
      </c>
      <c r="D628" s="259">
        <v>0.45</v>
      </c>
      <c r="E628" s="55" t="s">
        <v>2530</v>
      </c>
      <c r="F628" s="113">
        <f>'update Rate'!F8</f>
        <v>1659.57</v>
      </c>
      <c r="G628" s="113">
        <f t="shared" si="16"/>
        <v>746.80000000000007</v>
      </c>
      <c r="H628" s="125"/>
    </row>
    <row r="629" spans="1:8" ht="20.100000000000001" customHeight="1">
      <c r="B629" s="1157"/>
      <c r="C629" s="12" t="s">
        <v>2367</v>
      </c>
      <c r="D629" s="44">
        <v>1</v>
      </c>
      <c r="E629" s="55" t="s">
        <v>2530</v>
      </c>
      <c r="F629" s="113">
        <f>'update Rate'!F18</f>
        <v>1483.02</v>
      </c>
      <c r="G629" s="113">
        <f t="shared" si="16"/>
        <v>1483.02</v>
      </c>
      <c r="H629" s="9"/>
    </row>
    <row r="630" spans="1:8" ht="20.100000000000001" customHeight="1">
      <c r="B630" s="1157"/>
      <c r="C630" s="12" t="s">
        <v>2368</v>
      </c>
      <c r="D630" s="44">
        <v>0.1</v>
      </c>
      <c r="E630" s="55" t="s">
        <v>2530</v>
      </c>
      <c r="F630" s="113">
        <f>'update Rate'!F18</f>
        <v>1483.02</v>
      </c>
      <c r="G630" s="113">
        <f t="shared" si="16"/>
        <v>148.30000000000001</v>
      </c>
      <c r="H630" s="9"/>
    </row>
    <row r="631" spans="1:8" ht="20.100000000000001" customHeight="1">
      <c r="B631" s="1128"/>
      <c r="C631" s="15" t="s">
        <v>3749</v>
      </c>
      <c r="D631" s="45">
        <v>100</v>
      </c>
      <c r="E631" s="58" t="s">
        <v>3750</v>
      </c>
      <c r="F631" s="65">
        <f>'update Rate'!F508</f>
        <v>0.25</v>
      </c>
      <c r="G631" s="65">
        <f t="shared" si="16"/>
        <v>25</v>
      </c>
      <c r="H631" s="127">
        <f>SUM(G627:G631)</f>
        <v>4660.920000000001</v>
      </c>
    </row>
    <row r="632" spans="1:8" ht="20.100000000000001" customHeight="1">
      <c r="F632" s="42" t="s">
        <v>1708</v>
      </c>
      <c r="G632" s="117"/>
      <c r="H632" s="65">
        <f>SUM(H631,H626)</f>
        <v>7323.420000000001</v>
      </c>
    </row>
    <row r="633" spans="1:8" ht="20.100000000000001" customHeight="1">
      <c r="B633" s="1" t="s">
        <v>3658</v>
      </c>
      <c r="F633" s="42" t="s">
        <v>1689</v>
      </c>
      <c r="G633" s="117"/>
      <c r="H633" s="103">
        <f>FLOOR(H632*0.15,0.01)</f>
        <v>1098.51</v>
      </c>
    </row>
    <row r="634" spans="1:8" ht="20.100000000000001" customHeight="1">
      <c r="A634" s="28" t="s">
        <v>3384</v>
      </c>
      <c r="B634" s="103">
        <f>+H634</f>
        <v>8421.93</v>
      </c>
      <c r="C634" s="1" t="s">
        <v>3385</v>
      </c>
      <c r="F634" s="42" t="s">
        <v>1711</v>
      </c>
      <c r="G634" s="117"/>
      <c r="H634" s="103">
        <f>SUM(H632:H633)</f>
        <v>8421.93</v>
      </c>
    </row>
    <row r="635" spans="1:8" ht="20.100000000000001" customHeight="1">
      <c r="A635" s="28"/>
      <c r="B635" s="151"/>
      <c r="F635" s="42"/>
      <c r="G635" s="117"/>
      <c r="H635" s="151"/>
    </row>
    <row r="636" spans="1:8" ht="19.5">
      <c r="B636" s="1089" t="s">
        <v>2092</v>
      </c>
      <c r="C636" s="1089"/>
      <c r="D636" s="1089"/>
      <c r="E636" s="1089"/>
      <c r="F636" s="1089"/>
      <c r="G636" s="1089"/>
      <c r="H636" s="1089"/>
    </row>
    <row r="637" spans="1:8" ht="19.5">
      <c r="A637" s="282">
        <f>+A621+1</f>
        <v>39</v>
      </c>
      <c r="B637" s="1089" t="s">
        <v>3630</v>
      </c>
      <c r="C637" s="1089"/>
      <c r="D637" s="1089"/>
      <c r="E637" s="1089"/>
      <c r="F637" s="1089"/>
      <c r="G637" s="1089"/>
      <c r="H637" s="1089"/>
    </row>
    <row r="638" spans="1:8" ht="19.5">
      <c r="A638" s="688" t="s">
        <v>4378</v>
      </c>
      <c r="B638" s="1089" t="s">
        <v>2365</v>
      </c>
      <c r="C638" s="1089"/>
      <c r="D638" s="1089"/>
      <c r="E638" s="1089"/>
      <c r="F638" s="1089"/>
      <c r="G638" s="1089"/>
      <c r="H638" s="1089"/>
    </row>
    <row r="639" spans="1:8">
      <c r="B639" s="1092" t="s">
        <v>2529</v>
      </c>
      <c r="C639" s="1092"/>
      <c r="D639" s="1092"/>
      <c r="E639" s="1092"/>
      <c r="F639" s="1092"/>
      <c r="G639" s="1092"/>
      <c r="H639" s="1092"/>
    </row>
    <row r="640" spans="1:8" ht="31.5">
      <c r="B640" s="70" t="s">
        <v>3340</v>
      </c>
      <c r="C640" s="70" t="s">
        <v>3341</v>
      </c>
      <c r="D640" s="70" t="s">
        <v>3342</v>
      </c>
      <c r="E640" s="70" t="s">
        <v>3343</v>
      </c>
      <c r="F640" s="70" t="s">
        <v>3344</v>
      </c>
      <c r="G640" s="70" t="s">
        <v>3345</v>
      </c>
      <c r="H640" s="70" t="s">
        <v>1704</v>
      </c>
    </row>
    <row r="641" spans="1:8" ht="17.25">
      <c r="B641" s="1069" t="s">
        <v>1705</v>
      </c>
      <c r="C641" s="60" t="s">
        <v>610</v>
      </c>
      <c r="D641" s="43">
        <v>1.5</v>
      </c>
      <c r="E641" s="57" t="s">
        <v>1707</v>
      </c>
      <c r="F641" s="111">
        <f>'update Rate'!F5</f>
        <v>525</v>
      </c>
      <c r="G641" s="114">
        <f t="shared" ref="G641:G647" si="17">FLOOR(D641*F641,0.01)</f>
        <v>787.5</v>
      </c>
      <c r="H641" s="112"/>
    </row>
    <row r="642" spans="1:8" ht="17.25">
      <c r="B642" s="1070"/>
      <c r="C642" s="55" t="s">
        <v>1647</v>
      </c>
      <c r="D642" s="44">
        <v>5</v>
      </c>
      <c r="E642" s="55" t="s">
        <v>1707</v>
      </c>
      <c r="F642" s="113">
        <f>'update Rate'!F4</f>
        <v>375</v>
      </c>
      <c r="G642" s="113">
        <f t="shared" si="17"/>
        <v>1875</v>
      </c>
      <c r="H642" s="127">
        <f>SUM(G641+G642)</f>
        <v>2662.5</v>
      </c>
    </row>
    <row r="643" spans="1:8" ht="20.100000000000001" customHeight="1">
      <c r="B643" s="1069" t="s">
        <v>2330</v>
      </c>
      <c r="C643" s="57" t="s">
        <v>1650</v>
      </c>
      <c r="D643" s="258">
        <v>0.106</v>
      </c>
      <c r="E643" s="57" t="s">
        <v>804</v>
      </c>
      <c r="F643" s="114">
        <f>'update Rate'!F15</f>
        <v>14200</v>
      </c>
      <c r="G643" s="114">
        <f t="shared" si="17"/>
        <v>1505.2</v>
      </c>
      <c r="H643" s="112"/>
    </row>
    <row r="644" spans="1:8" ht="20.100000000000001" customHeight="1">
      <c r="B644" s="1094"/>
      <c r="C644" s="55" t="s">
        <v>801</v>
      </c>
      <c r="D644" s="259">
        <v>0.47</v>
      </c>
      <c r="E644" s="55" t="s">
        <v>2530</v>
      </c>
      <c r="F644" s="113">
        <f>'update Rate'!F8</f>
        <v>1659.57</v>
      </c>
      <c r="G644" s="113">
        <f t="shared" si="17"/>
        <v>779.99</v>
      </c>
      <c r="H644" s="125"/>
    </row>
    <row r="645" spans="1:8" ht="20.100000000000001" customHeight="1">
      <c r="B645" s="1094"/>
      <c r="C645" s="55" t="s">
        <v>2367</v>
      </c>
      <c r="D645" s="44">
        <v>1</v>
      </c>
      <c r="E645" s="55" t="s">
        <v>2530</v>
      </c>
      <c r="F645" s="113">
        <f>'update Rate'!F18</f>
        <v>1483.02</v>
      </c>
      <c r="G645" s="113">
        <f t="shared" si="17"/>
        <v>1483.02</v>
      </c>
      <c r="H645" s="9"/>
    </row>
    <row r="646" spans="1:8" ht="20.100000000000001" customHeight="1">
      <c r="B646" s="1094"/>
      <c r="C646" s="55" t="s">
        <v>2368</v>
      </c>
      <c r="D646" s="44">
        <v>0.1</v>
      </c>
      <c r="E646" s="55" t="s">
        <v>2530</v>
      </c>
      <c r="F646" s="113">
        <f>'update Rate'!F18</f>
        <v>1483.02</v>
      </c>
      <c r="G646" s="113">
        <f t="shared" si="17"/>
        <v>148.30000000000001</v>
      </c>
      <c r="H646" s="9"/>
    </row>
    <row r="647" spans="1:8" ht="20.100000000000001" customHeight="1">
      <c r="B647" s="1073"/>
      <c r="C647" s="58" t="s">
        <v>3749</v>
      </c>
      <c r="D647" s="45">
        <v>70</v>
      </c>
      <c r="E647" s="58" t="s">
        <v>3750</v>
      </c>
      <c r="F647" s="65">
        <f>'update Rate'!F508</f>
        <v>0.25</v>
      </c>
      <c r="G647" s="65">
        <f t="shared" si="17"/>
        <v>17.5</v>
      </c>
      <c r="H647" s="675">
        <f>SUM(G643:G647)</f>
        <v>3934.01</v>
      </c>
    </row>
    <row r="648" spans="1:8" ht="15.75">
      <c r="F648" s="1" t="s">
        <v>1708</v>
      </c>
      <c r="G648" s="117"/>
      <c r="H648" s="65">
        <f>SUM(H647,H642)</f>
        <v>6596.51</v>
      </c>
    </row>
    <row r="649" spans="1:8" ht="15.75">
      <c r="B649" s="1" t="s">
        <v>3658</v>
      </c>
      <c r="F649" s="1" t="s">
        <v>1689</v>
      </c>
      <c r="G649" s="117"/>
      <c r="H649" s="103">
        <f>FLOOR(H648*0.15,0.01)</f>
        <v>989.47</v>
      </c>
    </row>
    <row r="650" spans="1:8" ht="15.75">
      <c r="A650" s="28" t="s">
        <v>3384</v>
      </c>
      <c r="B650" s="103">
        <f>+H650</f>
        <v>7585.9800000000005</v>
      </c>
      <c r="C650" s="1" t="s">
        <v>3385</v>
      </c>
      <c r="F650" s="1" t="s">
        <v>1711</v>
      </c>
      <c r="G650" s="117"/>
      <c r="H650" s="103">
        <f>SUM(H648:H649)</f>
        <v>7585.9800000000005</v>
      </c>
    </row>
    <row r="651" spans="1:8" ht="15.75">
      <c r="A651" s="28"/>
      <c r="B651" s="151"/>
      <c r="G651" s="117"/>
      <c r="H651" s="151"/>
    </row>
    <row r="652" spans="1:8" ht="19.5">
      <c r="B652" s="1089"/>
      <c r="C652" s="1089"/>
      <c r="D652" s="1089"/>
      <c r="E652" s="1089"/>
      <c r="F652" s="1089"/>
      <c r="G652" s="1089"/>
      <c r="H652" s="1089"/>
    </row>
    <row r="653" spans="1:8" ht="19.5">
      <c r="A653" s="282">
        <f>+A637+1</f>
        <v>40</v>
      </c>
      <c r="B653" s="1089" t="s">
        <v>4368</v>
      </c>
      <c r="C653" s="1089"/>
      <c r="D653" s="1089"/>
      <c r="E653" s="1089"/>
      <c r="F653" s="1089"/>
      <c r="G653" s="1089"/>
      <c r="H653" s="1089"/>
    </row>
    <row r="654" spans="1:8" ht="19.5">
      <c r="A654" s="688" t="s">
        <v>4378</v>
      </c>
      <c r="B654" s="1089" t="s">
        <v>3451</v>
      </c>
      <c r="C654" s="1089"/>
      <c r="D654" s="1089"/>
      <c r="E654" s="1089"/>
      <c r="F654" s="1089"/>
      <c r="G654" s="1089"/>
      <c r="H654" s="1089"/>
    </row>
    <row r="655" spans="1:8">
      <c r="B655" s="1092" t="s">
        <v>2529</v>
      </c>
      <c r="C655" s="1092"/>
      <c r="D655" s="1092"/>
      <c r="E655" s="1092"/>
      <c r="F655" s="1092"/>
      <c r="G655" s="1092"/>
      <c r="H655" s="1092"/>
    </row>
    <row r="656" spans="1:8" ht="33" customHeight="1">
      <c r="B656" s="70" t="s">
        <v>3340</v>
      </c>
      <c r="C656" s="70" t="s">
        <v>3341</v>
      </c>
      <c r="D656" s="70" t="s">
        <v>3342</v>
      </c>
      <c r="E656" s="70" t="s">
        <v>3343</v>
      </c>
      <c r="F656" s="70" t="s">
        <v>3344</v>
      </c>
      <c r="G656" s="70" t="s">
        <v>3345</v>
      </c>
      <c r="H656" s="70" t="s">
        <v>1704</v>
      </c>
    </row>
    <row r="657" spans="1:8" ht="20.100000000000001" customHeight="1">
      <c r="B657" s="1069" t="s">
        <v>1705</v>
      </c>
      <c r="C657" s="60" t="s">
        <v>610</v>
      </c>
      <c r="D657" s="43">
        <v>1</v>
      </c>
      <c r="E657" s="57" t="s">
        <v>1707</v>
      </c>
      <c r="F657" s="111">
        <f>'update Rate'!F5</f>
        <v>525</v>
      </c>
      <c r="G657" s="114">
        <f>FLOOR(D657*F657,0.01)</f>
        <v>525</v>
      </c>
      <c r="H657" s="112"/>
    </row>
    <row r="658" spans="1:8" ht="20.100000000000001" customHeight="1">
      <c r="B658" s="1070"/>
      <c r="C658" s="58" t="s">
        <v>1647</v>
      </c>
      <c r="D658" s="44">
        <v>2</v>
      </c>
      <c r="E658" s="58" t="s">
        <v>1707</v>
      </c>
      <c r="F658" s="65">
        <f>'update Rate'!F4</f>
        <v>375</v>
      </c>
      <c r="G658" s="113">
        <f>FLOOR(D658*F658,0.01)</f>
        <v>750</v>
      </c>
      <c r="H658" s="127">
        <f>SUM(G657+G658)</f>
        <v>1275</v>
      </c>
    </row>
    <row r="659" spans="1:8" ht="20.100000000000001" customHeight="1">
      <c r="B659" s="1094" t="s">
        <v>2330</v>
      </c>
      <c r="C659" s="55" t="s">
        <v>2367</v>
      </c>
      <c r="D659" s="43">
        <v>1</v>
      </c>
      <c r="E659" s="55" t="s">
        <v>2530</v>
      </c>
      <c r="F659" s="113">
        <f>'update Rate'!F18</f>
        <v>1483.02</v>
      </c>
      <c r="G659" s="111">
        <f>FLOOR(D659*F659,0.01)</f>
        <v>1483.02</v>
      </c>
      <c r="H659" s="112"/>
    </row>
    <row r="660" spans="1:8" ht="20.100000000000001" customHeight="1">
      <c r="B660" s="1073"/>
      <c r="C660" s="58" t="s">
        <v>2368</v>
      </c>
      <c r="D660" s="45">
        <v>0.1</v>
      </c>
      <c r="E660" s="58" t="s">
        <v>2530</v>
      </c>
      <c r="F660" s="65">
        <f>'update Rate'!F19</f>
        <v>1483.02</v>
      </c>
      <c r="G660" s="65">
        <f>FLOOR(D660*F660,0.01)</f>
        <v>148.30000000000001</v>
      </c>
      <c r="H660" s="127">
        <f>SUM(G659+G660)</f>
        <v>1631.32</v>
      </c>
    </row>
    <row r="661" spans="1:8" ht="20.100000000000001" customHeight="1">
      <c r="F661" s="42" t="s">
        <v>1708</v>
      </c>
      <c r="G661" s="42"/>
      <c r="H661" s="65">
        <f>SUM(H657:H660)</f>
        <v>2906.3199999999997</v>
      </c>
    </row>
    <row r="662" spans="1:8" ht="20.100000000000001" customHeight="1">
      <c r="B662" s="1" t="s">
        <v>3658</v>
      </c>
      <c r="F662" s="42" t="s">
        <v>1689</v>
      </c>
      <c r="G662" s="42"/>
      <c r="H662" s="103">
        <f>FLOOR(H661*0.15,0.01)</f>
        <v>435.94</v>
      </c>
    </row>
    <row r="663" spans="1:8" ht="20.100000000000001" customHeight="1">
      <c r="A663" s="28" t="s">
        <v>3384</v>
      </c>
      <c r="B663" s="103">
        <f>+H663</f>
        <v>3342.2599999999998</v>
      </c>
      <c r="C663" s="1" t="s">
        <v>3385</v>
      </c>
      <c r="F663" s="42" t="s">
        <v>1711</v>
      </c>
      <c r="G663" s="42"/>
      <c r="H663" s="103">
        <f>SUM(H661:H662)</f>
        <v>3342.2599999999998</v>
      </c>
    </row>
    <row r="664" spans="1:8" ht="11.25" customHeight="1"/>
    <row r="665" spans="1:8" ht="20.100000000000001" customHeight="1">
      <c r="B665" s="1089" t="s">
        <v>2092</v>
      </c>
      <c r="C665" s="1089"/>
      <c r="D665" s="1089"/>
      <c r="E665" s="1089"/>
      <c r="F665" s="1089"/>
      <c r="G665" s="1089"/>
      <c r="H665" s="1089"/>
    </row>
    <row r="666" spans="1:8" ht="20.100000000000001" customHeight="1">
      <c r="A666" s="282">
        <f>+A653+1</f>
        <v>41</v>
      </c>
      <c r="B666" s="1089" t="s">
        <v>2091</v>
      </c>
      <c r="C666" s="1089"/>
      <c r="D666" s="1089"/>
      <c r="E666" s="1089"/>
      <c r="F666" s="1089"/>
      <c r="G666" s="1089"/>
      <c r="H666" s="1089"/>
    </row>
    <row r="667" spans="1:8" ht="19.5">
      <c r="A667" s="688" t="s">
        <v>4378</v>
      </c>
      <c r="B667" s="1089" t="s">
        <v>3451</v>
      </c>
      <c r="C667" s="1089"/>
      <c r="D667" s="1089"/>
      <c r="E667" s="1089"/>
      <c r="F667" s="1089"/>
      <c r="G667" s="1089"/>
      <c r="H667" s="1089"/>
    </row>
    <row r="668" spans="1:8">
      <c r="B668" s="1092" t="s">
        <v>2529</v>
      </c>
      <c r="C668" s="1092"/>
      <c r="D668" s="1092"/>
      <c r="E668" s="1092"/>
      <c r="F668" s="1092"/>
      <c r="G668" s="1092"/>
      <c r="H668" s="1092"/>
    </row>
    <row r="669" spans="1:8" ht="31.5">
      <c r="B669" s="70" t="s">
        <v>3340</v>
      </c>
      <c r="C669" s="70" t="s">
        <v>3341</v>
      </c>
      <c r="D669" s="70" t="s">
        <v>3342</v>
      </c>
      <c r="E669" s="70" t="s">
        <v>3343</v>
      </c>
      <c r="F669" s="70" t="s">
        <v>3344</v>
      </c>
      <c r="G669" s="70" t="s">
        <v>3345</v>
      </c>
      <c r="H669" s="70" t="s">
        <v>1704</v>
      </c>
    </row>
    <row r="670" spans="1:8" ht="17.25">
      <c r="B670" s="1069" t="s">
        <v>1705</v>
      </c>
      <c r="C670" s="60" t="s">
        <v>610</v>
      </c>
      <c r="D670" s="43">
        <v>1</v>
      </c>
      <c r="E670" s="57" t="s">
        <v>1707</v>
      </c>
      <c r="F670" s="114">
        <f>'update Rate'!F5</f>
        <v>525</v>
      </c>
      <c r="G670" s="114">
        <f t="shared" ref="G670:G675" si="18">FLOOR(D670*F670,0.01)</f>
        <v>525</v>
      </c>
      <c r="H670" s="112"/>
    </row>
    <row r="671" spans="1:8" ht="20.100000000000001" customHeight="1">
      <c r="B671" s="1070"/>
      <c r="C671" s="58" t="s">
        <v>1647</v>
      </c>
      <c r="D671" s="44">
        <v>2.25</v>
      </c>
      <c r="E671" s="55" t="s">
        <v>1707</v>
      </c>
      <c r="F671" s="113">
        <f>'update Rate'!F4</f>
        <v>375</v>
      </c>
      <c r="G671" s="113">
        <f t="shared" si="18"/>
        <v>843.75</v>
      </c>
      <c r="H671" s="125">
        <f>SUM(G670+G671)</f>
        <v>1368.75</v>
      </c>
    </row>
    <row r="672" spans="1:8" ht="20.100000000000001" customHeight="1">
      <c r="B672" s="1069" t="s">
        <v>2330</v>
      </c>
      <c r="C672" s="55" t="s">
        <v>2367</v>
      </c>
      <c r="D672" s="43">
        <v>1</v>
      </c>
      <c r="E672" s="57" t="s">
        <v>2530</v>
      </c>
      <c r="F672" s="114">
        <f>'update Rate'!F18</f>
        <v>1483.02</v>
      </c>
      <c r="G672" s="114">
        <f t="shared" si="18"/>
        <v>1483.02</v>
      </c>
      <c r="H672" s="112"/>
    </row>
    <row r="673" spans="1:8" ht="20.100000000000001" customHeight="1">
      <c r="B673" s="1094"/>
      <c r="C673" s="55" t="s">
        <v>2368</v>
      </c>
      <c r="D673" s="44">
        <v>0.1</v>
      </c>
      <c r="E673" s="55" t="s">
        <v>2530</v>
      </c>
      <c r="F673" s="113">
        <f>'update Rate'!F19</f>
        <v>1483.02</v>
      </c>
      <c r="G673" s="113">
        <f t="shared" si="18"/>
        <v>148.30000000000001</v>
      </c>
      <c r="H673" s="125"/>
    </row>
    <row r="674" spans="1:8" ht="20.100000000000001" customHeight="1">
      <c r="B674" s="1094"/>
      <c r="C674" s="55" t="s">
        <v>2090</v>
      </c>
      <c r="D674" s="44">
        <v>0.42</v>
      </c>
      <c r="E674" s="55" t="s">
        <v>2530</v>
      </c>
      <c r="F674" s="113">
        <f>'update Rate'!F17</f>
        <v>220</v>
      </c>
      <c r="G674" s="113">
        <f t="shared" si="18"/>
        <v>92.4</v>
      </c>
      <c r="H674" s="674"/>
    </row>
    <row r="675" spans="1:8" ht="20.100000000000001" customHeight="1">
      <c r="B675" s="1073"/>
      <c r="C675" s="58" t="s">
        <v>3749</v>
      </c>
      <c r="D675" s="45">
        <v>70</v>
      </c>
      <c r="E675" s="58" t="s">
        <v>3750</v>
      </c>
      <c r="F675" s="65">
        <f>'update Rate'!F508</f>
        <v>0.25</v>
      </c>
      <c r="G675" s="65">
        <f t="shared" si="18"/>
        <v>17.5</v>
      </c>
      <c r="H675" s="127">
        <f>SUM(G672:G675)</f>
        <v>1741.22</v>
      </c>
    </row>
    <row r="676" spans="1:8" ht="20.100000000000001" customHeight="1">
      <c r="F676" s="42" t="s">
        <v>1708</v>
      </c>
      <c r="G676" s="42"/>
      <c r="H676" s="65">
        <f>SUM(H671:H675)</f>
        <v>3109.9700000000003</v>
      </c>
    </row>
    <row r="677" spans="1:8" ht="15.75">
      <c r="B677" s="1" t="s">
        <v>3658</v>
      </c>
      <c r="F677" s="42" t="s">
        <v>1689</v>
      </c>
      <c r="G677" s="42"/>
      <c r="H677" s="103">
        <f>FLOOR(H676*0.15,0.01)</f>
        <v>466.49</v>
      </c>
    </row>
    <row r="678" spans="1:8" ht="15.75">
      <c r="A678" s="28" t="s">
        <v>3384</v>
      </c>
      <c r="B678" s="103">
        <f>+H678</f>
        <v>3576.46</v>
      </c>
      <c r="C678" s="1" t="s">
        <v>3385</v>
      </c>
      <c r="F678" s="42" t="s">
        <v>1711</v>
      </c>
      <c r="G678" s="42"/>
      <c r="H678" s="103">
        <f>SUM(H676:H677)</f>
        <v>3576.46</v>
      </c>
    </row>
    <row r="679" spans="1:8" ht="17.25">
      <c r="B679" s="33"/>
      <c r="F679" s="42"/>
      <c r="G679" s="42"/>
      <c r="H679" s="90"/>
    </row>
    <row r="680" spans="1:8">
      <c r="B680" s="33"/>
      <c r="H680" s="19"/>
    </row>
    <row r="681" spans="1:8" ht="20.100000000000001" customHeight="1">
      <c r="B681" s="33"/>
      <c r="H681" s="19"/>
    </row>
    <row r="682" spans="1:8" ht="19.5">
      <c r="A682" s="282">
        <f>A666+1</f>
        <v>42</v>
      </c>
      <c r="B682" s="1089" t="s">
        <v>3659</v>
      </c>
      <c r="C682" s="1089"/>
      <c r="D682" s="1089"/>
      <c r="E682" s="1089"/>
      <c r="F682" s="1089"/>
      <c r="G682" s="1089"/>
      <c r="H682" s="1089"/>
    </row>
    <row r="683" spans="1:8" ht="15.75">
      <c r="A683" s="688" t="s">
        <v>4379</v>
      </c>
      <c r="B683" s="1092" t="s">
        <v>3291</v>
      </c>
      <c r="C683" s="1092"/>
      <c r="D683" s="1092"/>
      <c r="E683" s="1092"/>
      <c r="F683" s="1092"/>
      <c r="G683" s="1092"/>
      <c r="H683" s="1092"/>
    </row>
    <row r="684" spans="1:8">
      <c r="B684" s="3"/>
      <c r="C684" s="3"/>
      <c r="D684" s="3"/>
      <c r="E684" s="3"/>
      <c r="F684" s="3"/>
      <c r="G684" s="3"/>
      <c r="H684" s="3"/>
    </row>
    <row r="685" spans="1:8" ht="31.5">
      <c r="B685" s="70" t="s">
        <v>3340</v>
      </c>
      <c r="C685" s="70" t="s">
        <v>3341</v>
      </c>
      <c r="D685" s="70" t="s">
        <v>3342</v>
      </c>
      <c r="E685" s="70" t="s">
        <v>3343</v>
      </c>
      <c r="F685" s="70" t="s">
        <v>3344</v>
      </c>
      <c r="G685" s="70" t="s">
        <v>3345</v>
      </c>
      <c r="H685" s="70" t="s">
        <v>1704</v>
      </c>
    </row>
    <row r="686" spans="1:8" ht="17.25">
      <c r="B686" s="1069" t="s">
        <v>1705</v>
      </c>
      <c r="C686" s="60" t="s">
        <v>610</v>
      </c>
      <c r="D686" s="43">
        <v>15</v>
      </c>
      <c r="E686" s="57" t="s">
        <v>1707</v>
      </c>
      <c r="F686" s="111">
        <f>'update Rate'!F5</f>
        <v>525</v>
      </c>
      <c r="G686" s="114">
        <f t="shared" ref="G686:G691" si="19">FLOOR(D686*F686,0.01)</f>
        <v>7875</v>
      </c>
      <c r="H686" s="112"/>
    </row>
    <row r="687" spans="1:8" ht="17.25">
      <c r="B687" s="1070"/>
      <c r="C687" s="55" t="s">
        <v>1647</v>
      </c>
      <c r="D687" s="44">
        <v>30</v>
      </c>
      <c r="E687" s="55" t="s">
        <v>1707</v>
      </c>
      <c r="F687" s="113">
        <f>'update Rate'!F4</f>
        <v>375</v>
      </c>
      <c r="G687" s="113">
        <f t="shared" si="19"/>
        <v>11250</v>
      </c>
      <c r="H687" s="125">
        <f>SUM(G686+G687)</f>
        <v>19125</v>
      </c>
    </row>
    <row r="688" spans="1:8" ht="20.100000000000001" customHeight="1">
      <c r="B688" s="1069" t="s">
        <v>2330</v>
      </c>
      <c r="C688" s="57" t="s">
        <v>3660</v>
      </c>
      <c r="D688" s="43">
        <v>11</v>
      </c>
      <c r="E688" s="57" t="s">
        <v>2530</v>
      </c>
      <c r="F688" s="114">
        <f>'update Rate'!F21</f>
        <v>1483.02</v>
      </c>
      <c r="G688" s="114">
        <f t="shared" si="19"/>
        <v>16313.220000000001</v>
      </c>
      <c r="H688" s="112"/>
    </row>
    <row r="689" spans="1:8" ht="20.100000000000001" customHeight="1">
      <c r="B689" s="1094"/>
      <c r="C689" s="55" t="s">
        <v>1650</v>
      </c>
      <c r="D689" s="44">
        <v>1.4</v>
      </c>
      <c r="E689" s="55" t="s">
        <v>804</v>
      </c>
      <c r="F689" s="113">
        <f>'update Rate'!F15</f>
        <v>14200</v>
      </c>
      <c r="G689" s="113">
        <f t="shared" si="19"/>
        <v>19880</v>
      </c>
      <c r="H689" s="9"/>
    </row>
    <row r="690" spans="1:8" ht="20.100000000000001" customHeight="1">
      <c r="B690" s="1094"/>
      <c r="C690" s="55" t="s">
        <v>2087</v>
      </c>
      <c r="D690" s="44">
        <v>4.2</v>
      </c>
      <c r="E690" s="55" t="s">
        <v>2530</v>
      </c>
      <c r="F690" s="113">
        <f>'update Rate'!F8</f>
        <v>1659.57</v>
      </c>
      <c r="G690" s="113">
        <f t="shared" si="19"/>
        <v>6970.1900000000005</v>
      </c>
      <c r="H690" s="9"/>
    </row>
    <row r="691" spans="1:8" ht="17.25">
      <c r="B691" s="1073"/>
      <c r="C691" s="58" t="s">
        <v>3749</v>
      </c>
      <c r="D691" s="45">
        <v>900</v>
      </c>
      <c r="E691" s="58" t="s">
        <v>3750</v>
      </c>
      <c r="F691" s="65">
        <f>'update Rate'!F508</f>
        <v>0.25</v>
      </c>
      <c r="G691" s="65">
        <f t="shared" si="19"/>
        <v>225</v>
      </c>
      <c r="H691" s="683">
        <f>SUM(G688:G691)</f>
        <v>43388.41</v>
      </c>
    </row>
    <row r="692" spans="1:8" ht="15.75">
      <c r="F692" s="42" t="s">
        <v>1708</v>
      </c>
      <c r="G692" s="107"/>
      <c r="H692" s="65">
        <f>SUM(H687:H691)</f>
        <v>62513.41</v>
      </c>
    </row>
    <row r="693" spans="1:8" ht="15.75">
      <c r="A693"/>
      <c r="B693" s="3" t="s">
        <v>3658</v>
      </c>
      <c r="C693"/>
      <c r="D693"/>
      <c r="F693" s="42" t="s">
        <v>1689</v>
      </c>
      <c r="G693" s="107"/>
      <c r="H693" s="103">
        <f>FLOOR(H692*0.15,0.01)</f>
        <v>9377.01</v>
      </c>
    </row>
    <row r="694" spans="1:8" ht="15.75">
      <c r="A694"/>
      <c r="B694" s="147">
        <f>$H$694</f>
        <v>71890.42</v>
      </c>
      <c r="C694" s="148" t="s">
        <v>3384</v>
      </c>
      <c r="D694" s="103">
        <f>FLOOR(B694/B695,0.01)</f>
        <v>7189.04</v>
      </c>
      <c r="E694" s="1" t="s">
        <v>3385</v>
      </c>
      <c r="F694" s="42" t="s">
        <v>1711</v>
      </c>
      <c r="G694" s="107"/>
      <c r="H694" s="103">
        <f>SUM(H692:H693)</f>
        <v>71890.42</v>
      </c>
    </row>
    <row r="695" spans="1:8">
      <c r="A695"/>
      <c r="B695" s="121">
        <v>10</v>
      </c>
      <c r="C695" s="94"/>
      <c r="D695" s="94"/>
    </row>
    <row r="696" spans="1:8">
      <c r="A696" s="969"/>
      <c r="B696" s="121"/>
      <c r="C696" s="94"/>
      <c r="D696" s="94"/>
    </row>
    <row r="697" spans="1:8">
      <c r="B697" s="146"/>
      <c r="C697" s="2"/>
      <c r="D697" s="2"/>
    </row>
    <row r="698" spans="1:8">
      <c r="B698" s="3"/>
    </row>
    <row r="699" spans="1:8" ht="19.5">
      <c r="A699" s="282">
        <f>+A682+1</f>
        <v>43</v>
      </c>
      <c r="B699" s="1089" t="s">
        <v>2175</v>
      </c>
      <c r="C699" s="1089"/>
      <c r="D699" s="1089"/>
      <c r="E699" s="1089"/>
      <c r="F699" s="1089"/>
      <c r="G699" s="1089"/>
      <c r="H699" s="1089"/>
    </row>
    <row r="700" spans="1:8" ht="20.100000000000001" customHeight="1">
      <c r="A700" s="688" t="s">
        <v>4380</v>
      </c>
      <c r="B700" s="1089" t="s">
        <v>2089</v>
      </c>
      <c r="C700" s="1089"/>
      <c r="D700" s="1089"/>
      <c r="E700" s="1089"/>
      <c r="F700" s="1089"/>
      <c r="G700" s="1089"/>
      <c r="H700" s="1089"/>
    </row>
    <row r="701" spans="1:8" ht="20.100000000000001" customHeight="1">
      <c r="B701" s="1092" t="s">
        <v>2529</v>
      </c>
      <c r="C701" s="1092"/>
      <c r="D701" s="1092"/>
      <c r="E701" s="1092"/>
      <c r="F701" s="1092"/>
      <c r="G701" s="1092"/>
      <c r="H701" s="1092"/>
    </row>
    <row r="702" spans="1:8" ht="33.75" customHeight="1">
      <c r="B702" s="70" t="s">
        <v>3340</v>
      </c>
      <c r="C702" s="70" t="s">
        <v>3341</v>
      </c>
      <c r="D702" s="70" t="s">
        <v>3342</v>
      </c>
      <c r="E702" s="70" t="s">
        <v>3343</v>
      </c>
      <c r="F702" s="70" t="s">
        <v>3344</v>
      </c>
      <c r="G702" s="70" t="s">
        <v>3345</v>
      </c>
      <c r="H702" s="70" t="s">
        <v>1704</v>
      </c>
    </row>
    <row r="703" spans="1:8" ht="25.5" customHeight="1">
      <c r="B703" s="60" t="s">
        <v>1705</v>
      </c>
      <c r="C703" s="66" t="s">
        <v>2176</v>
      </c>
      <c r="D703" s="46">
        <v>1.5</v>
      </c>
      <c r="E703" s="66" t="s">
        <v>1707</v>
      </c>
      <c r="F703" s="105">
        <f>'update Rate'!F4</f>
        <v>375</v>
      </c>
      <c r="G703" s="103">
        <f>FLOOR(D703*F703,0.01)</f>
        <v>562.5</v>
      </c>
      <c r="H703" s="130">
        <f>SUM(G703)</f>
        <v>562.5</v>
      </c>
    </row>
    <row r="704" spans="1:8" ht="20.100000000000001" customHeight="1">
      <c r="B704" s="1069" t="s">
        <v>2330</v>
      </c>
      <c r="C704" s="55" t="s">
        <v>2367</v>
      </c>
      <c r="D704" s="44">
        <v>1</v>
      </c>
      <c r="E704" s="55" t="s">
        <v>2530</v>
      </c>
      <c r="F704" s="113">
        <f>'update Rate'!F18</f>
        <v>1483.02</v>
      </c>
      <c r="G704" s="113">
        <f>FLOOR(D704*F704,0.01)</f>
        <v>1483.02</v>
      </c>
      <c r="H704" s="125"/>
    </row>
    <row r="705" spans="1:8" ht="20.100000000000001" customHeight="1">
      <c r="B705" s="1070"/>
      <c r="C705" s="58" t="s">
        <v>2368</v>
      </c>
      <c r="D705" s="45">
        <v>0.2</v>
      </c>
      <c r="E705" s="58" t="s">
        <v>2530</v>
      </c>
      <c r="F705" s="65">
        <f>'update Rate'!F19</f>
        <v>1483.02</v>
      </c>
      <c r="G705" s="65">
        <f>FLOOR(D705*F705,0.01)</f>
        <v>296.60000000000002</v>
      </c>
      <c r="H705" s="127">
        <f>SUM(G704+G705+G706)</f>
        <v>1779.62</v>
      </c>
    </row>
    <row r="706" spans="1:8" ht="20.100000000000001" customHeight="1">
      <c r="F706" s="42" t="s">
        <v>1708</v>
      </c>
      <c r="G706" s="42"/>
      <c r="H706" s="702">
        <f>SUM(H702:H705)</f>
        <v>2342.12</v>
      </c>
    </row>
    <row r="707" spans="1:8" ht="20.100000000000001" customHeight="1">
      <c r="B707" s="1" t="s">
        <v>3658</v>
      </c>
      <c r="F707" s="42" t="s">
        <v>1689</v>
      </c>
      <c r="G707" s="42"/>
      <c r="H707" s="103">
        <f>FLOOR(H706*0.15,0.01)</f>
        <v>351.31</v>
      </c>
    </row>
    <row r="708" spans="1:8" ht="20.100000000000001" customHeight="1">
      <c r="A708" s="28" t="s">
        <v>3384</v>
      </c>
      <c r="B708" s="103">
        <f>+H708</f>
        <v>2693.43</v>
      </c>
      <c r="C708" s="1" t="s">
        <v>3385</v>
      </c>
      <c r="F708" s="42" t="s">
        <v>1711</v>
      </c>
      <c r="G708" s="42"/>
      <c r="H708" s="103">
        <f>SUM(H706:H707)</f>
        <v>2693.43</v>
      </c>
    </row>
    <row r="709" spans="1:8" ht="19.5">
      <c r="A709" s="282">
        <f>+A699+1</f>
        <v>44</v>
      </c>
      <c r="B709" s="1090" t="s">
        <v>3773</v>
      </c>
      <c r="C709" s="1090"/>
      <c r="D709" s="1090"/>
      <c r="E709" s="1090"/>
      <c r="F709" s="1090"/>
      <c r="G709" s="1090"/>
      <c r="H709" s="1090"/>
    </row>
    <row r="710" spans="1:8" ht="18">
      <c r="A710" s="688" t="s">
        <v>4381</v>
      </c>
      <c r="B710" s="1153" t="s">
        <v>3774</v>
      </c>
      <c r="C710" s="1153"/>
      <c r="D710" s="1153"/>
      <c r="E710" s="1153"/>
      <c r="F710" s="1153"/>
      <c r="G710" s="1153"/>
      <c r="H710" s="1153"/>
    </row>
    <row r="711" spans="1:8">
      <c r="B711" s="1147" t="s">
        <v>2620</v>
      </c>
      <c r="C711" s="1147"/>
      <c r="D711" s="1147"/>
      <c r="E711" s="1147"/>
      <c r="F711" s="1147"/>
      <c r="G711" s="1147"/>
      <c r="H711" s="1147"/>
    </row>
    <row r="712" spans="1:8" ht="31.5">
      <c r="B712" s="70" t="s">
        <v>3340</v>
      </c>
      <c r="C712" s="70" t="s">
        <v>3341</v>
      </c>
      <c r="D712" s="70" t="s">
        <v>3342</v>
      </c>
      <c r="E712" s="70" t="s">
        <v>3343</v>
      </c>
      <c r="F712" s="70" t="s">
        <v>3344</v>
      </c>
      <c r="G712" s="70" t="s">
        <v>3345</v>
      </c>
      <c r="H712" s="70" t="s">
        <v>1704</v>
      </c>
    </row>
    <row r="713" spans="1:8" ht="17.25">
      <c r="B713" s="1069" t="s">
        <v>1705</v>
      </c>
      <c r="C713" s="681" t="s">
        <v>610</v>
      </c>
      <c r="D713" s="43">
        <v>0.25</v>
      </c>
      <c r="E713" s="57" t="s">
        <v>1707</v>
      </c>
      <c r="F713" s="111">
        <v>0</v>
      </c>
      <c r="G713" s="114">
        <f t="shared" ref="G713:G718" si="20">FLOOR(D713*F713,0.01)</f>
        <v>0</v>
      </c>
      <c r="H713" s="682"/>
    </row>
    <row r="714" spans="1:8" ht="17.25">
      <c r="B714" s="1070"/>
      <c r="C714" s="55" t="s">
        <v>1647</v>
      </c>
      <c r="D714" s="44">
        <v>0.25</v>
      </c>
      <c r="E714" s="55" t="s">
        <v>1707</v>
      </c>
      <c r="F714" s="113">
        <v>0</v>
      </c>
      <c r="G714" s="113">
        <f t="shared" si="20"/>
        <v>0</v>
      </c>
      <c r="H714" s="684">
        <f>SUM(G713+G714)</f>
        <v>0</v>
      </c>
    </row>
    <row r="715" spans="1:8" ht="20.100000000000001" customHeight="1">
      <c r="B715" s="1069" t="s">
        <v>2330</v>
      </c>
      <c r="C715" s="1023" t="s">
        <v>4309</v>
      </c>
      <c r="D715" s="43">
        <v>19</v>
      </c>
      <c r="E715" s="57" t="s">
        <v>4051</v>
      </c>
      <c r="F715" s="114">
        <v>0</v>
      </c>
      <c r="G715" s="114">
        <f t="shared" si="20"/>
        <v>0</v>
      </c>
      <c r="H715" s="682"/>
    </row>
    <row r="716" spans="1:8" ht="20.100000000000001" customHeight="1">
      <c r="B716" s="1094"/>
      <c r="C716" s="55" t="s">
        <v>1650</v>
      </c>
      <c r="D716" s="54">
        <v>1.4E-2</v>
      </c>
      <c r="E716" s="55" t="s">
        <v>804</v>
      </c>
      <c r="F716" s="113">
        <v>0</v>
      </c>
      <c r="G716" s="113">
        <f t="shared" si="20"/>
        <v>0</v>
      </c>
      <c r="H716" s="9"/>
    </row>
    <row r="717" spans="1:8" ht="20.100000000000001" customHeight="1">
      <c r="B717" s="1094"/>
      <c r="C717" s="55" t="s">
        <v>2087</v>
      </c>
      <c r="D717" s="54">
        <v>4.3999999999999997E-2</v>
      </c>
      <c r="E717" s="55" t="s">
        <v>2530</v>
      </c>
      <c r="F717" s="113">
        <v>0</v>
      </c>
      <c r="G717" s="113">
        <f t="shared" si="20"/>
        <v>0</v>
      </c>
      <c r="H717" s="9"/>
    </row>
    <row r="718" spans="1:8" ht="17.25">
      <c r="B718" s="1073"/>
      <c r="C718" s="58" t="s">
        <v>3749</v>
      </c>
      <c r="D718" s="45">
        <v>12</v>
      </c>
      <c r="E718" s="58" t="s">
        <v>3750</v>
      </c>
      <c r="F718" s="65">
        <v>0</v>
      </c>
      <c r="G718" s="65">
        <f t="shared" si="20"/>
        <v>0</v>
      </c>
      <c r="H718" s="683">
        <f>SUM(G715:G718)</f>
        <v>0</v>
      </c>
    </row>
    <row r="719" spans="1:8" ht="15.75">
      <c r="F719" s="42" t="s">
        <v>1708</v>
      </c>
      <c r="G719" s="107"/>
      <c r="H719" s="65">
        <f>SUM(H714:H718)</f>
        <v>0</v>
      </c>
    </row>
    <row r="720" spans="1:8" ht="15.75">
      <c r="A720"/>
      <c r="B720" s="3" t="s">
        <v>3658</v>
      </c>
      <c r="C720"/>
      <c r="D720"/>
      <c r="F720" s="42" t="s">
        <v>1689</v>
      </c>
      <c r="G720" s="107"/>
      <c r="H720" s="103">
        <f>FLOOR(H719*0.15,0.01)</f>
        <v>0</v>
      </c>
    </row>
    <row r="721" spans="1:8" ht="15.75">
      <c r="A721" s="148" t="s">
        <v>3384</v>
      </c>
      <c r="B721" s="103">
        <f>+H721</f>
        <v>0</v>
      </c>
      <c r="C721" s="1" t="s">
        <v>3385</v>
      </c>
      <c r="F721" s="42" t="s">
        <v>1711</v>
      </c>
      <c r="G721" s="107"/>
      <c r="H721" s="103">
        <f>SUM(H719:H720)</f>
        <v>0</v>
      </c>
    </row>
    <row r="722" spans="1:8">
      <c r="A722"/>
      <c r="B722" s="121"/>
      <c r="C722" s="94"/>
      <c r="D722" s="94"/>
    </row>
    <row r="723" spans="1:8">
      <c r="A723" s="969"/>
      <c r="B723" s="121"/>
      <c r="C723" s="94"/>
      <c r="D723" s="94"/>
    </row>
    <row r="724" spans="1:8" ht="19.5">
      <c r="B724" s="1089" t="s">
        <v>1510</v>
      </c>
      <c r="C724" s="1089"/>
      <c r="D724" s="1089"/>
      <c r="E724" s="1089"/>
      <c r="F724" s="1089"/>
      <c r="G724" s="1089"/>
      <c r="H724" s="1089"/>
    </row>
    <row r="725" spans="1:8" ht="19.5">
      <c r="A725" s="282">
        <f>A709+1</f>
        <v>45</v>
      </c>
      <c r="B725" s="1089" t="s">
        <v>1511</v>
      </c>
      <c r="C725" s="1089"/>
      <c r="D725" s="1089"/>
      <c r="E725" s="1089"/>
      <c r="F725" s="1089"/>
      <c r="G725" s="1089"/>
      <c r="H725" s="1089"/>
    </row>
    <row r="726" spans="1:8" ht="19.5">
      <c r="A726" s="688" t="s">
        <v>1964</v>
      </c>
      <c r="B726" s="1149" t="s">
        <v>1512</v>
      </c>
      <c r="C726" s="1089"/>
      <c r="D726" s="1089"/>
      <c r="E726" s="1089"/>
      <c r="F726" s="1089"/>
      <c r="G726" s="1089"/>
      <c r="H726" s="1089"/>
    </row>
    <row r="727" spans="1:8" ht="20.100000000000001" customHeight="1">
      <c r="B727" s="1092" t="s">
        <v>2529</v>
      </c>
      <c r="C727" s="1092"/>
      <c r="D727" s="1092"/>
      <c r="E727" s="1092"/>
      <c r="F727" s="1092"/>
      <c r="G727" s="1092"/>
      <c r="H727" s="1092"/>
    </row>
    <row r="728" spans="1:8" ht="31.5" customHeight="1">
      <c r="B728" s="70" t="s">
        <v>3340</v>
      </c>
      <c r="C728" s="70" t="s">
        <v>3341</v>
      </c>
      <c r="D728" s="70" t="s">
        <v>3342</v>
      </c>
      <c r="E728" s="70" t="s">
        <v>3343</v>
      </c>
      <c r="F728" s="70" t="s">
        <v>3344</v>
      </c>
      <c r="G728" s="70" t="s">
        <v>3345</v>
      </c>
      <c r="H728" s="70" t="s">
        <v>1704</v>
      </c>
    </row>
    <row r="729" spans="1:8" ht="20.100000000000001" customHeight="1">
      <c r="B729" s="1069" t="s">
        <v>1705</v>
      </c>
      <c r="C729" s="60" t="s">
        <v>610</v>
      </c>
      <c r="D729" s="43">
        <v>1</v>
      </c>
      <c r="E729" s="57" t="s">
        <v>1707</v>
      </c>
      <c r="F729" s="111">
        <f>'update Rate'!F5</f>
        <v>525</v>
      </c>
      <c r="G729" s="114">
        <f t="shared" ref="G729:G735" si="21">FLOOR(D729*F729,0.01)</f>
        <v>525</v>
      </c>
      <c r="H729" s="112"/>
    </row>
    <row r="730" spans="1:8" ht="20.100000000000001" customHeight="1">
      <c r="B730" s="1070"/>
      <c r="C730" s="55" t="s">
        <v>1647</v>
      </c>
      <c r="D730" s="44">
        <v>4</v>
      </c>
      <c r="E730" s="55" t="s">
        <v>1707</v>
      </c>
      <c r="F730" s="113">
        <f>'update Rate'!F4</f>
        <v>375</v>
      </c>
      <c r="G730" s="113">
        <f t="shared" si="21"/>
        <v>1500</v>
      </c>
      <c r="H730" s="125">
        <f>SUM(G729+G730)</f>
        <v>2025</v>
      </c>
    </row>
    <row r="731" spans="1:8" ht="20.100000000000001" customHeight="1">
      <c r="B731" s="1069" t="s">
        <v>2330</v>
      </c>
      <c r="C731" s="57" t="s">
        <v>1650</v>
      </c>
      <c r="D731" s="258">
        <v>0.17</v>
      </c>
      <c r="E731" s="57" t="s">
        <v>804</v>
      </c>
      <c r="F731" s="114">
        <f>'update Rate'!F15</f>
        <v>14200</v>
      </c>
      <c r="G731" s="114">
        <f t="shared" si="21"/>
        <v>2414</v>
      </c>
      <c r="H731" s="112"/>
    </row>
    <row r="732" spans="1:8" ht="20.100000000000001" customHeight="1">
      <c r="B732" s="1094"/>
      <c r="C732" s="20" t="s">
        <v>650</v>
      </c>
      <c r="D732" s="259">
        <v>0.65</v>
      </c>
      <c r="E732" s="55" t="s">
        <v>2530</v>
      </c>
      <c r="F732" s="113">
        <f>'update Rate'!F33</f>
        <v>1836.12</v>
      </c>
      <c r="G732" s="113">
        <f t="shared" si="21"/>
        <v>1193.47</v>
      </c>
      <c r="H732" s="9"/>
    </row>
    <row r="733" spans="1:8" ht="20.100000000000001" customHeight="1">
      <c r="B733" s="1094"/>
      <c r="C733" s="21" t="s">
        <v>651</v>
      </c>
      <c r="D733" s="44">
        <v>0.24</v>
      </c>
      <c r="E733" s="55" t="s">
        <v>2530</v>
      </c>
      <c r="F733" s="113">
        <f>'update Rate'!F34</f>
        <v>1906.74</v>
      </c>
      <c r="G733" s="113">
        <f t="shared" si="21"/>
        <v>457.61</v>
      </c>
      <c r="H733" s="125"/>
    </row>
    <row r="734" spans="1:8" ht="20.100000000000001" customHeight="1">
      <c r="B734" s="1094"/>
      <c r="C734" s="55" t="s">
        <v>2177</v>
      </c>
      <c r="D734" s="44">
        <v>0.47</v>
      </c>
      <c r="E734" s="55" t="s">
        <v>2530</v>
      </c>
      <c r="F734" s="113">
        <f>'update Rate'!F9</f>
        <v>1659.57</v>
      </c>
      <c r="G734" s="113">
        <f t="shared" si="21"/>
        <v>779.99</v>
      </c>
      <c r="H734" s="684"/>
    </row>
    <row r="735" spans="1:8" ht="20.100000000000001" customHeight="1">
      <c r="B735" s="1073"/>
      <c r="C735" s="58" t="s">
        <v>3749</v>
      </c>
      <c r="D735" s="45">
        <v>100</v>
      </c>
      <c r="E735" s="58" t="s">
        <v>3750</v>
      </c>
      <c r="F735" s="65">
        <f>'update Rate'!F508</f>
        <v>0.25</v>
      </c>
      <c r="G735" s="65">
        <f t="shared" si="21"/>
        <v>25</v>
      </c>
      <c r="H735" s="683">
        <f>SUM(G731:G735)</f>
        <v>4870.0700000000006</v>
      </c>
    </row>
    <row r="736" spans="1:8" ht="20.100000000000001" customHeight="1">
      <c r="D736" s="91"/>
      <c r="F736" s="42" t="s">
        <v>1708</v>
      </c>
      <c r="G736" s="94"/>
      <c r="H736" s="65">
        <f>SUM(H735,H730)</f>
        <v>6895.0700000000006</v>
      </c>
    </row>
    <row r="737" spans="1:8" ht="20.100000000000001" customHeight="1">
      <c r="B737" s="1" t="s">
        <v>3658</v>
      </c>
      <c r="F737" s="42" t="s">
        <v>1689</v>
      </c>
      <c r="G737" s="94"/>
      <c r="H737" s="103">
        <f>FLOOR(H736*0.15,0.01)</f>
        <v>1034.26</v>
      </c>
    </row>
    <row r="738" spans="1:8" ht="20.100000000000001" customHeight="1">
      <c r="A738" s="28" t="s">
        <v>3384</v>
      </c>
      <c r="B738" s="103">
        <f>+H738</f>
        <v>7929.3300000000008</v>
      </c>
      <c r="C738" s="1" t="s">
        <v>3385</v>
      </c>
      <c r="F738" s="42" t="s">
        <v>1711</v>
      </c>
      <c r="G738" s="94"/>
      <c r="H738" s="103">
        <f>SUM(H736:H737)</f>
        <v>7929.3300000000008</v>
      </c>
    </row>
    <row r="739" spans="1:8" ht="6.75" customHeight="1"/>
    <row r="740" spans="1:8" ht="20.100000000000001" customHeight="1">
      <c r="A740" s="282">
        <f>+A725+1</f>
        <v>46</v>
      </c>
    </row>
    <row r="741" spans="1:8" ht="18.75" customHeight="1">
      <c r="A741" s="688" t="s">
        <v>1964</v>
      </c>
      <c r="B741" s="1089" t="s">
        <v>4073</v>
      </c>
      <c r="C741" s="1089"/>
      <c r="D741" s="1089"/>
      <c r="E741" s="1089"/>
      <c r="F741" s="1089"/>
      <c r="G741" s="1089"/>
      <c r="H741" s="1089"/>
    </row>
    <row r="742" spans="1:8" ht="19.5">
      <c r="B742" s="1149" t="s">
        <v>1514</v>
      </c>
      <c r="C742" s="1089"/>
      <c r="D742" s="1089"/>
      <c r="E742" s="1089"/>
      <c r="F742" s="1089"/>
      <c r="G742" s="1089"/>
      <c r="H742" s="1089"/>
    </row>
    <row r="743" spans="1:8">
      <c r="B743" s="1092" t="s">
        <v>2529</v>
      </c>
      <c r="C743" s="1092"/>
      <c r="D743" s="1092"/>
      <c r="E743" s="1092"/>
      <c r="F743" s="1092"/>
      <c r="G743" s="1092"/>
      <c r="H743" s="1092"/>
    </row>
    <row r="744" spans="1:8" ht="31.5">
      <c r="B744" s="70" t="s">
        <v>3340</v>
      </c>
      <c r="C744" s="70" t="s">
        <v>3341</v>
      </c>
      <c r="D744" s="70" t="s">
        <v>3342</v>
      </c>
      <c r="E744" s="70" t="s">
        <v>3343</v>
      </c>
      <c r="F744" s="70" t="s">
        <v>3344</v>
      </c>
      <c r="G744" s="70" t="s">
        <v>3345</v>
      </c>
      <c r="H744" s="70" t="s">
        <v>1704</v>
      </c>
    </row>
    <row r="745" spans="1:8" ht="17.25">
      <c r="B745" s="1069" t="s">
        <v>1705</v>
      </c>
      <c r="C745" s="60" t="s">
        <v>610</v>
      </c>
      <c r="D745" s="47">
        <v>1</v>
      </c>
      <c r="E745" s="57" t="s">
        <v>1707</v>
      </c>
      <c r="F745" s="111">
        <f>'update Rate'!F5</f>
        <v>525</v>
      </c>
      <c r="G745" s="114">
        <f t="shared" ref="G745:G751" si="22">FLOOR(D745*F745,0.01)</f>
        <v>525</v>
      </c>
      <c r="H745" s="112"/>
    </row>
    <row r="746" spans="1:8" ht="17.25">
      <c r="B746" s="1070"/>
      <c r="C746" s="55" t="s">
        <v>1647</v>
      </c>
      <c r="D746" s="52">
        <v>4</v>
      </c>
      <c r="E746" s="55" t="s">
        <v>1707</v>
      </c>
      <c r="F746" s="113">
        <f>'update Rate'!F4</f>
        <v>375</v>
      </c>
      <c r="G746" s="113">
        <f t="shared" si="22"/>
        <v>1500</v>
      </c>
      <c r="H746" s="125">
        <f>SUM(G745+G746)</f>
        <v>2025</v>
      </c>
    </row>
    <row r="747" spans="1:8" ht="20.100000000000001" customHeight="1">
      <c r="B747" s="1069" t="s">
        <v>2330</v>
      </c>
      <c r="C747" s="57" t="s">
        <v>1650</v>
      </c>
      <c r="D747" s="258">
        <v>0.22</v>
      </c>
      <c r="E747" s="57" t="s">
        <v>804</v>
      </c>
      <c r="F747" s="114">
        <f>'update Rate'!F15</f>
        <v>14200</v>
      </c>
      <c r="G747" s="114">
        <f t="shared" si="22"/>
        <v>3124</v>
      </c>
      <c r="H747" s="112"/>
    </row>
    <row r="748" spans="1:8" ht="20.100000000000001" customHeight="1">
      <c r="B748" s="1094"/>
      <c r="C748" s="20" t="s">
        <v>650</v>
      </c>
      <c r="D748" s="259">
        <v>0.65</v>
      </c>
      <c r="E748" s="55" t="s">
        <v>2530</v>
      </c>
      <c r="F748" s="113">
        <f>'update Rate'!F33</f>
        <v>1836.12</v>
      </c>
      <c r="G748" s="113">
        <f t="shared" si="22"/>
        <v>1193.47</v>
      </c>
      <c r="H748" s="9"/>
    </row>
    <row r="749" spans="1:8" ht="20.100000000000001" customHeight="1">
      <c r="B749" s="1094"/>
      <c r="C749" s="21" t="s">
        <v>651</v>
      </c>
      <c r="D749" s="44">
        <v>0.24</v>
      </c>
      <c r="E749" s="55" t="s">
        <v>2530</v>
      </c>
      <c r="F749" s="113">
        <f>'update Rate'!F34</f>
        <v>1906.74</v>
      </c>
      <c r="G749" s="113">
        <f t="shared" si="22"/>
        <v>457.61</v>
      </c>
      <c r="H749" s="125"/>
    </row>
    <row r="750" spans="1:8" ht="20.100000000000001" customHeight="1">
      <c r="B750" s="1094"/>
      <c r="C750" s="55" t="s">
        <v>2177</v>
      </c>
      <c r="D750" s="44">
        <v>0.47</v>
      </c>
      <c r="E750" s="55" t="s">
        <v>2530</v>
      </c>
      <c r="F750" s="113">
        <f>'update Rate'!F9</f>
        <v>1659.57</v>
      </c>
      <c r="G750" s="113">
        <f t="shared" si="22"/>
        <v>779.99</v>
      </c>
      <c r="H750" s="684"/>
    </row>
    <row r="751" spans="1:8" ht="20.100000000000001" customHeight="1">
      <c r="B751" s="1073"/>
      <c r="C751" s="58" t="s">
        <v>3749</v>
      </c>
      <c r="D751" s="45">
        <v>120</v>
      </c>
      <c r="E751" s="58" t="s">
        <v>3750</v>
      </c>
      <c r="F751" s="65">
        <f>'update Rate'!F508</f>
        <v>0.25</v>
      </c>
      <c r="G751" s="65">
        <f t="shared" si="22"/>
        <v>30</v>
      </c>
      <c r="H751" s="683">
        <f>SUM(G747:G751)</f>
        <v>5585.07</v>
      </c>
    </row>
    <row r="752" spans="1:8" ht="20.100000000000001" customHeight="1">
      <c r="D752" s="91"/>
      <c r="F752" s="42" t="s">
        <v>1708</v>
      </c>
      <c r="G752" s="94"/>
      <c r="H752" s="65">
        <f>SUM(H751,H746)</f>
        <v>7610.07</v>
      </c>
    </row>
    <row r="753" spans="1:8" ht="15.75">
      <c r="B753" s="1" t="s">
        <v>3658</v>
      </c>
      <c r="F753" s="42" t="s">
        <v>1689</v>
      </c>
      <c r="G753" s="94"/>
      <c r="H753" s="103">
        <f>FLOOR(H752*0.15,0.01)</f>
        <v>1141.51</v>
      </c>
    </row>
    <row r="754" spans="1:8" ht="20.100000000000001" customHeight="1">
      <c r="A754" s="28" t="s">
        <v>3384</v>
      </c>
      <c r="B754" s="103">
        <f>+H754</f>
        <v>8751.58</v>
      </c>
      <c r="C754" s="1" t="s">
        <v>3385</v>
      </c>
      <c r="F754" s="42" t="s">
        <v>1711</v>
      </c>
      <c r="G754" s="94"/>
      <c r="H754" s="103">
        <f>SUM(H752:H753)</f>
        <v>8751.58</v>
      </c>
    </row>
    <row r="755" spans="1:8" ht="19.5">
      <c r="B755" s="1089" t="s">
        <v>1510</v>
      </c>
      <c r="C755" s="1089"/>
      <c r="D755" s="1089"/>
      <c r="E755" s="1089"/>
      <c r="F755" s="1089"/>
      <c r="G755" s="1089"/>
      <c r="H755" s="1089"/>
    </row>
    <row r="756" spans="1:8" ht="19.5">
      <c r="A756" s="282">
        <f>+A740+1</f>
        <v>47</v>
      </c>
      <c r="B756" s="1089" t="s">
        <v>1511</v>
      </c>
      <c r="C756" s="1089"/>
      <c r="D756" s="1089"/>
      <c r="E756" s="1089"/>
      <c r="F756" s="1089"/>
      <c r="G756" s="1089"/>
      <c r="H756" s="1089"/>
    </row>
    <row r="757" spans="1:8" ht="19.5">
      <c r="A757" s="688" t="s">
        <v>1964</v>
      </c>
      <c r="B757" s="1149" t="s">
        <v>1515</v>
      </c>
      <c r="C757" s="1089"/>
      <c r="D757" s="1089"/>
      <c r="E757" s="1089"/>
      <c r="F757" s="1089"/>
      <c r="G757" s="1089"/>
      <c r="H757" s="1089"/>
    </row>
    <row r="758" spans="1:8">
      <c r="B758" s="1092" t="s">
        <v>2529</v>
      </c>
      <c r="C758" s="1092"/>
      <c r="D758" s="1092"/>
      <c r="E758" s="1092"/>
      <c r="F758" s="1092"/>
      <c r="G758" s="1092"/>
      <c r="H758" s="1092"/>
    </row>
    <row r="759" spans="1:8" ht="31.5">
      <c r="B759" s="70" t="s">
        <v>3340</v>
      </c>
      <c r="C759" s="70" t="s">
        <v>3341</v>
      </c>
      <c r="D759" s="70" t="s">
        <v>3342</v>
      </c>
      <c r="E759" s="70" t="s">
        <v>3343</v>
      </c>
      <c r="F759" s="70" t="s">
        <v>3344</v>
      </c>
      <c r="G759" s="70" t="s">
        <v>3345</v>
      </c>
      <c r="H759" s="70" t="s">
        <v>1704</v>
      </c>
    </row>
    <row r="760" spans="1:8" ht="15.75">
      <c r="B760" s="1069" t="s">
        <v>1705</v>
      </c>
      <c r="C760" s="60" t="s">
        <v>610</v>
      </c>
      <c r="D760" s="114">
        <v>1</v>
      </c>
      <c r="E760" s="57" t="s">
        <v>1707</v>
      </c>
      <c r="F760" s="111">
        <f>'update Rate'!F5</f>
        <v>525</v>
      </c>
      <c r="G760" s="114">
        <f t="shared" ref="G760:G767" si="23">FLOOR(D760*F760,0.01)</f>
        <v>525</v>
      </c>
      <c r="H760" s="112"/>
    </row>
    <row r="761" spans="1:8" ht="20.100000000000001" customHeight="1">
      <c r="B761" s="1070"/>
      <c r="C761" s="55" t="s">
        <v>1647</v>
      </c>
      <c r="D761" s="44">
        <v>4</v>
      </c>
      <c r="E761" s="55" t="s">
        <v>1707</v>
      </c>
      <c r="F761" s="113">
        <f>'update Rate'!F4</f>
        <v>375</v>
      </c>
      <c r="G761" s="113">
        <f t="shared" si="23"/>
        <v>1500</v>
      </c>
      <c r="H761" s="125">
        <f>SUM(G760+G761)</f>
        <v>2025</v>
      </c>
    </row>
    <row r="762" spans="1:8" ht="20.100000000000001" customHeight="1">
      <c r="B762" s="1069" t="s">
        <v>2330</v>
      </c>
      <c r="C762" s="57" t="s">
        <v>1650</v>
      </c>
      <c r="D762" s="258">
        <v>0.32</v>
      </c>
      <c r="E762" s="57" t="s">
        <v>804</v>
      </c>
      <c r="F762" s="114">
        <f>'update Rate'!F15</f>
        <v>14200</v>
      </c>
      <c r="G762" s="114">
        <f t="shared" si="23"/>
        <v>4544</v>
      </c>
      <c r="H762" s="112"/>
    </row>
    <row r="763" spans="1:8" ht="20.100000000000001" customHeight="1">
      <c r="B763" s="1094"/>
      <c r="C763" s="20" t="s">
        <v>650</v>
      </c>
      <c r="D763" s="259">
        <v>0.52</v>
      </c>
      <c r="E763" s="55" t="s">
        <v>2530</v>
      </c>
      <c r="F763" s="113">
        <f>'update Rate'!F33</f>
        <v>1836.12</v>
      </c>
      <c r="G763" s="113">
        <f t="shared" si="23"/>
        <v>954.78</v>
      </c>
      <c r="H763" s="9"/>
    </row>
    <row r="764" spans="1:8" ht="20.100000000000001" customHeight="1">
      <c r="B764" s="1094"/>
      <c r="C764" s="21" t="s">
        <v>651</v>
      </c>
      <c r="D764" s="44">
        <v>0.22</v>
      </c>
      <c r="E764" s="55" t="s">
        <v>2530</v>
      </c>
      <c r="F764" s="113">
        <f>'update Rate'!F34</f>
        <v>1906.74</v>
      </c>
      <c r="G764" s="113">
        <f t="shared" si="23"/>
        <v>419.48</v>
      </c>
      <c r="H764" s="125"/>
    </row>
    <row r="765" spans="1:8" ht="20.100000000000001" customHeight="1">
      <c r="B765" s="1094"/>
      <c r="C765" s="56" t="s">
        <v>1595</v>
      </c>
      <c r="D765" s="44">
        <v>0.11</v>
      </c>
      <c r="E765" s="55" t="s">
        <v>2530</v>
      </c>
      <c r="F765" s="113">
        <f>'update Rate'!F37</f>
        <v>1730.19</v>
      </c>
      <c r="G765" s="113">
        <f t="shared" si="23"/>
        <v>190.32</v>
      </c>
      <c r="H765" s="9"/>
    </row>
    <row r="766" spans="1:8" ht="20.100000000000001" customHeight="1">
      <c r="B766" s="1094"/>
      <c r="C766" s="55" t="s">
        <v>1513</v>
      </c>
      <c r="D766" s="54">
        <v>0.44500000000000001</v>
      </c>
      <c r="E766" s="55" t="s">
        <v>2530</v>
      </c>
      <c r="F766" s="113">
        <f>'update Rate'!F9</f>
        <v>1659.57</v>
      </c>
      <c r="G766" s="113">
        <f t="shared" si="23"/>
        <v>738.5</v>
      </c>
      <c r="H766" s="9"/>
    </row>
    <row r="767" spans="1:8" ht="20.100000000000001" customHeight="1">
      <c r="B767" s="1073"/>
      <c r="C767" s="58" t="s">
        <v>3749</v>
      </c>
      <c r="D767" s="45">
        <v>150</v>
      </c>
      <c r="E767" s="58" t="s">
        <v>3750</v>
      </c>
      <c r="F767" s="65">
        <f>'update Rate'!F508</f>
        <v>0.25</v>
      </c>
      <c r="G767" s="65">
        <f t="shared" si="23"/>
        <v>37.5</v>
      </c>
      <c r="H767" s="683">
        <f>SUM(G762:G767)</f>
        <v>6884.58</v>
      </c>
    </row>
    <row r="768" spans="1:8" ht="20.100000000000001" customHeight="1">
      <c r="F768" s="42" t="s">
        <v>1708</v>
      </c>
      <c r="G768" s="42"/>
      <c r="H768" s="65">
        <f>SUM(H767,H761)</f>
        <v>8909.58</v>
      </c>
    </row>
    <row r="769" spans="1:8" ht="20.100000000000001" customHeight="1">
      <c r="B769" s="1" t="s">
        <v>3658</v>
      </c>
      <c r="F769" s="42" t="s">
        <v>1689</v>
      </c>
      <c r="G769" s="42"/>
      <c r="H769" s="103">
        <f>FLOOR(H768*0.15,0.01)</f>
        <v>1336.43</v>
      </c>
    </row>
    <row r="770" spans="1:8" ht="20.100000000000001" customHeight="1">
      <c r="A770" s="28" t="s">
        <v>3384</v>
      </c>
      <c r="B770" s="103">
        <f>+H770</f>
        <v>10246.01</v>
      </c>
      <c r="C770" s="1" t="s">
        <v>3385</v>
      </c>
      <c r="F770" s="42" t="s">
        <v>1711</v>
      </c>
      <c r="G770" s="42"/>
      <c r="H770" s="103">
        <f>SUM(H768:H769)</f>
        <v>10246.01</v>
      </c>
    </row>
    <row r="771" spans="1:8" ht="20.100000000000001" customHeight="1">
      <c r="A771" s="28"/>
      <c r="B771" s="151"/>
      <c r="F771" s="42"/>
      <c r="G771" s="42"/>
      <c r="H771" s="151"/>
    </row>
    <row r="772" spans="1:8" ht="20.100000000000001" customHeight="1">
      <c r="A772" s="28"/>
      <c r="B772" s="151"/>
      <c r="F772" s="42"/>
      <c r="G772" s="42"/>
      <c r="H772" s="151"/>
    </row>
    <row r="773" spans="1:8" ht="20.100000000000001" customHeight="1">
      <c r="A773" s="28"/>
      <c r="B773" s="151"/>
      <c r="F773" s="42"/>
      <c r="G773" s="42"/>
      <c r="H773" s="151"/>
    </row>
    <row r="774" spans="1:8" ht="20.100000000000001" customHeight="1">
      <c r="A774" s="28"/>
      <c r="B774" s="151"/>
      <c r="F774" s="42"/>
      <c r="G774" s="42"/>
      <c r="H774" s="151"/>
    </row>
    <row r="775" spans="1:8" ht="20.100000000000001" customHeight="1">
      <c r="A775" s="28"/>
      <c r="B775" s="151"/>
      <c r="F775" s="42"/>
      <c r="G775" s="42"/>
      <c r="H775" s="151"/>
    </row>
    <row r="777" spans="1:8" ht="20.100000000000001" customHeight="1">
      <c r="B777" s="1089" t="s">
        <v>1516</v>
      </c>
      <c r="C777" s="1089"/>
      <c r="D777" s="1089"/>
      <c r="E777" s="1089"/>
      <c r="F777" s="1089"/>
      <c r="G777" s="1089"/>
      <c r="H777" s="1089"/>
    </row>
    <row r="778" spans="1:8" ht="20.100000000000001" customHeight="1">
      <c r="A778" s="282">
        <f>+A756+1</f>
        <v>48</v>
      </c>
      <c r="B778" s="1089" t="s">
        <v>1517</v>
      </c>
      <c r="C778" s="1089"/>
      <c r="D778" s="1089"/>
      <c r="E778" s="1089"/>
      <c r="F778" s="1089"/>
      <c r="G778" s="1089"/>
      <c r="H778" s="1089"/>
    </row>
    <row r="779" spans="1:8" ht="20.100000000000001" customHeight="1">
      <c r="A779" s="688" t="s">
        <v>4382</v>
      </c>
      <c r="B779" s="1149" t="s">
        <v>1515</v>
      </c>
      <c r="C779" s="1089"/>
      <c r="D779" s="1089"/>
      <c r="E779" s="1089"/>
      <c r="F779" s="1089"/>
      <c r="G779" s="1089"/>
      <c r="H779" s="1089"/>
    </row>
    <row r="780" spans="1:8" ht="20.25" customHeight="1">
      <c r="B780" s="1092" t="s">
        <v>2529</v>
      </c>
      <c r="C780" s="1092"/>
      <c r="D780" s="1092"/>
      <c r="E780" s="1092"/>
      <c r="F780" s="1092"/>
      <c r="G780" s="1092"/>
      <c r="H780" s="1092"/>
    </row>
    <row r="781" spans="1:8" ht="31.5">
      <c r="B781" s="70" t="s">
        <v>3340</v>
      </c>
      <c r="C781" s="70" t="s">
        <v>3341</v>
      </c>
      <c r="D781" s="70" t="s">
        <v>3342</v>
      </c>
      <c r="E781" s="70" t="s">
        <v>3343</v>
      </c>
      <c r="F781" s="70" t="s">
        <v>3344</v>
      </c>
      <c r="G781" s="70" t="s">
        <v>3345</v>
      </c>
      <c r="H781" s="70" t="s">
        <v>1704</v>
      </c>
    </row>
    <row r="782" spans="1:8" ht="17.25">
      <c r="B782" s="670" t="s">
        <v>1705</v>
      </c>
      <c r="C782" s="60" t="s">
        <v>610</v>
      </c>
      <c r="D782" s="43">
        <v>0.8</v>
      </c>
      <c r="E782" s="57" t="s">
        <v>1707</v>
      </c>
      <c r="F782" s="111">
        <f>'update Rate'!F5</f>
        <v>525</v>
      </c>
      <c r="G782" s="114">
        <f t="shared" ref="G782:G789" si="24">FLOOR(D782*F782,0.01)</f>
        <v>420</v>
      </c>
      <c r="H782" s="112"/>
    </row>
    <row r="783" spans="1:8" ht="17.25">
      <c r="B783" s="671"/>
      <c r="C783" s="55" t="s">
        <v>1647</v>
      </c>
      <c r="D783" s="44">
        <v>7</v>
      </c>
      <c r="E783" s="55" t="s">
        <v>1707</v>
      </c>
      <c r="F783" s="113">
        <f>'update Rate'!F4</f>
        <v>375</v>
      </c>
      <c r="G783" s="113">
        <f t="shared" si="24"/>
        <v>2625</v>
      </c>
      <c r="H783" s="125">
        <f>SUM(G782+G783)</f>
        <v>3045</v>
      </c>
    </row>
    <row r="784" spans="1:8" ht="17.25">
      <c r="B784" s="1069" t="s">
        <v>2330</v>
      </c>
      <c r="C784" s="57" t="s">
        <v>1650</v>
      </c>
      <c r="D784" s="258">
        <v>0.32</v>
      </c>
      <c r="E784" s="57" t="s">
        <v>804</v>
      </c>
      <c r="F784" s="114">
        <f>'update Rate'!F15</f>
        <v>14200</v>
      </c>
      <c r="G784" s="114">
        <f t="shared" si="24"/>
        <v>4544</v>
      </c>
      <c r="H784" s="112"/>
    </row>
    <row r="785" spans="1:8" ht="20.100000000000001" customHeight="1">
      <c r="B785" s="1094"/>
      <c r="C785" s="20" t="s">
        <v>650</v>
      </c>
      <c r="D785" s="259">
        <v>0.52</v>
      </c>
      <c r="E785" s="55" t="s">
        <v>2530</v>
      </c>
      <c r="F785" s="113">
        <f>'update Rate'!F33</f>
        <v>1836.12</v>
      </c>
      <c r="G785" s="113">
        <f t="shared" si="24"/>
        <v>954.78</v>
      </c>
      <c r="H785" s="9"/>
    </row>
    <row r="786" spans="1:8" ht="20.100000000000001" customHeight="1">
      <c r="B786" s="1094"/>
      <c r="C786" s="21" t="s">
        <v>651</v>
      </c>
      <c r="D786" s="44">
        <v>0.22</v>
      </c>
      <c r="E786" s="55" t="s">
        <v>2530</v>
      </c>
      <c r="F786" s="113">
        <f>'update Rate'!F34</f>
        <v>1906.74</v>
      </c>
      <c r="G786" s="113">
        <f t="shared" si="24"/>
        <v>419.48</v>
      </c>
      <c r="H786" s="125"/>
    </row>
    <row r="787" spans="1:8" ht="20.100000000000001" customHeight="1">
      <c r="B787" s="1094"/>
      <c r="C787" s="20" t="s">
        <v>652</v>
      </c>
      <c r="D787" s="44">
        <v>0.11</v>
      </c>
      <c r="E787" s="55" t="s">
        <v>2530</v>
      </c>
      <c r="F787" s="113">
        <f>'update Rate'!F37</f>
        <v>1730.19</v>
      </c>
      <c r="G787" s="113">
        <f t="shared" si="24"/>
        <v>190.32</v>
      </c>
      <c r="H787" s="9"/>
    </row>
    <row r="788" spans="1:8" ht="20.100000000000001" customHeight="1">
      <c r="B788" s="1094"/>
      <c r="C788" s="55" t="s">
        <v>2177</v>
      </c>
      <c r="D788" s="54">
        <v>0.44500000000000001</v>
      </c>
      <c r="E788" s="55" t="s">
        <v>2530</v>
      </c>
      <c r="F788" s="113">
        <f>'update Rate'!F9</f>
        <v>1659.57</v>
      </c>
      <c r="G788" s="113">
        <f t="shared" si="24"/>
        <v>738.5</v>
      </c>
      <c r="H788" s="684"/>
    </row>
    <row r="789" spans="1:8" ht="20.100000000000001" customHeight="1">
      <c r="B789" s="1073"/>
      <c r="C789" s="58" t="s">
        <v>3749</v>
      </c>
      <c r="D789" s="45">
        <v>150</v>
      </c>
      <c r="E789" s="58" t="s">
        <v>3750</v>
      </c>
      <c r="F789" s="65">
        <f>'update Rate'!F508</f>
        <v>0.25</v>
      </c>
      <c r="G789" s="65">
        <f t="shared" si="24"/>
        <v>37.5</v>
      </c>
      <c r="H789" s="683">
        <f>SUM(G784:G789)</f>
        <v>6884.58</v>
      </c>
    </row>
    <row r="790" spans="1:8" ht="20.100000000000001" customHeight="1">
      <c r="F790" s="42" t="s">
        <v>1708</v>
      </c>
      <c r="G790" s="42"/>
      <c r="H790" s="65">
        <f>SUM(H789,H783)</f>
        <v>9929.58</v>
      </c>
    </row>
    <row r="791" spans="1:8" ht="15.75">
      <c r="B791" s="1" t="s">
        <v>3658</v>
      </c>
      <c r="F791" s="42" t="s">
        <v>1689</v>
      </c>
      <c r="G791" s="42"/>
      <c r="H791" s="103">
        <f>FLOOR(H790*0.15,0.01)</f>
        <v>1489.43</v>
      </c>
    </row>
    <row r="792" spans="1:8" ht="15.75">
      <c r="A792" s="28" t="s">
        <v>3384</v>
      </c>
      <c r="B792" s="103">
        <f>+H792</f>
        <v>11419.01</v>
      </c>
      <c r="C792" s="1" t="s">
        <v>3385</v>
      </c>
      <c r="F792" s="42" t="s">
        <v>1711</v>
      </c>
      <c r="G792" s="42"/>
      <c r="H792" s="103">
        <f>SUM(H790:H791)</f>
        <v>11419.01</v>
      </c>
    </row>
    <row r="793" spans="1:8" ht="17.25">
      <c r="B793" s="33"/>
      <c r="F793" s="42"/>
      <c r="G793" s="42"/>
      <c r="H793" s="90"/>
    </row>
    <row r="794" spans="1:8" ht="19.5">
      <c r="B794" s="1089" t="s">
        <v>1516</v>
      </c>
      <c r="C794" s="1089"/>
      <c r="D794" s="1089"/>
      <c r="E794" s="1089"/>
      <c r="F794" s="1089"/>
      <c r="G794" s="1089"/>
      <c r="H794" s="1089"/>
    </row>
    <row r="795" spans="1:8" ht="19.5">
      <c r="A795" s="282">
        <f>+A778+1</f>
        <v>49</v>
      </c>
      <c r="B795" s="1089" t="s">
        <v>1517</v>
      </c>
      <c r="C795" s="1089"/>
      <c r="D795" s="1089"/>
      <c r="E795" s="1089"/>
      <c r="F795" s="1089"/>
      <c r="G795" s="1089"/>
      <c r="H795" s="1089"/>
    </row>
    <row r="796" spans="1:8" ht="25.5">
      <c r="A796" s="688" t="s">
        <v>4382</v>
      </c>
      <c r="B796" s="1149" t="s">
        <v>3504</v>
      </c>
      <c r="C796" s="1089"/>
      <c r="D796" s="1089"/>
      <c r="E796" s="1089"/>
      <c r="F796" s="1089"/>
      <c r="G796" s="1089"/>
      <c r="H796" s="1089"/>
    </row>
    <row r="797" spans="1:8">
      <c r="B797" s="1092" t="s">
        <v>2529</v>
      </c>
      <c r="C797" s="1092"/>
      <c r="D797" s="1092"/>
      <c r="E797" s="1092"/>
      <c r="F797" s="1092"/>
      <c r="G797" s="1092"/>
      <c r="H797" s="1092"/>
    </row>
    <row r="798" spans="1:8" ht="32.25" customHeight="1">
      <c r="B798" s="70" t="s">
        <v>3340</v>
      </c>
      <c r="C798" s="70" t="s">
        <v>3341</v>
      </c>
      <c r="D798" s="70" t="s">
        <v>3342</v>
      </c>
      <c r="E798" s="70" t="s">
        <v>3343</v>
      </c>
      <c r="F798" s="70" t="s">
        <v>3344</v>
      </c>
      <c r="G798" s="70" t="s">
        <v>3345</v>
      </c>
      <c r="H798" s="70" t="s">
        <v>1704</v>
      </c>
    </row>
    <row r="799" spans="1:8" ht="20.100000000000001" customHeight="1">
      <c r="B799" s="1069" t="s">
        <v>1705</v>
      </c>
      <c r="C799" s="60" t="s">
        <v>610</v>
      </c>
      <c r="D799" s="43">
        <v>0.8</v>
      </c>
      <c r="E799" s="57" t="s">
        <v>1707</v>
      </c>
      <c r="F799" s="111">
        <f>'update Rate'!F5</f>
        <v>525</v>
      </c>
      <c r="G799" s="114">
        <f t="shared" ref="G799:G805" si="25">FLOOR(D799*F799,0.01)</f>
        <v>420</v>
      </c>
      <c r="H799" s="112"/>
    </row>
    <row r="800" spans="1:8" ht="20.100000000000001" customHeight="1">
      <c r="B800" s="1070"/>
      <c r="C800" s="55" t="s">
        <v>1647</v>
      </c>
      <c r="D800" s="44">
        <v>7</v>
      </c>
      <c r="E800" s="55" t="s">
        <v>1707</v>
      </c>
      <c r="F800" s="113">
        <f>'update Rate'!F4</f>
        <v>375</v>
      </c>
      <c r="G800" s="113">
        <f t="shared" si="25"/>
        <v>2625</v>
      </c>
      <c r="H800" s="125">
        <f>SUM(G799:G800)</f>
        <v>3045</v>
      </c>
    </row>
    <row r="801" spans="1:8" ht="20.100000000000001" customHeight="1">
      <c r="B801" s="1069" t="s">
        <v>2330</v>
      </c>
      <c r="C801" s="57" t="s">
        <v>1650</v>
      </c>
      <c r="D801" s="43">
        <v>0.4</v>
      </c>
      <c r="E801" s="57" t="s">
        <v>804</v>
      </c>
      <c r="F801" s="114">
        <f>'update Rate'!F15</f>
        <v>14200</v>
      </c>
      <c r="G801" s="114">
        <f t="shared" si="25"/>
        <v>5680</v>
      </c>
      <c r="H801" s="112"/>
    </row>
    <row r="802" spans="1:8" ht="20.100000000000001" customHeight="1">
      <c r="B802" s="1094"/>
      <c r="C802" s="56" t="s">
        <v>651</v>
      </c>
      <c r="D802" s="259">
        <v>0.56999999999999995</v>
      </c>
      <c r="E802" s="55" t="s">
        <v>2530</v>
      </c>
      <c r="F802" s="113">
        <f>'update Rate'!F34</f>
        <v>1906.74</v>
      </c>
      <c r="G802" s="113">
        <f t="shared" si="25"/>
        <v>1086.8399999999999</v>
      </c>
      <c r="H802" s="9"/>
    </row>
    <row r="803" spans="1:8" ht="20.100000000000001" customHeight="1">
      <c r="B803" s="1094"/>
      <c r="C803" s="55" t="s">
        <v>652</v>
      </c>
      <c r="D803" s="44">
        <v>0.28999999999999998</v>
      </c>
      <c r="E803" s="55" t="s">
        <v>2530</v>
      </c>
      <c r="F803" s="113">
        <f>'update Rate'!F37</f>
        <v>1730.19</v>
      </c>
      <c r="G803" s="113">
        <f t="shared" si="25"/>
        <v>501.75</v>
      </c>
      <c r="H803" s="125"/>
    </row>
    <row r="804" spans="1:8" ht="20.100000000000001" customHeight="1">
      <c r="B804" s="1094"/>
      <c r="C804" s="55" t="s">
        <v>1513</v>
      </c>
      <c r="D804" s="54">
        <v>0.42499999999999999</v>
      </c>
      <c r="E804" s="55" t="s">
        <v>2530</v>
      </c>
      <c r="F804" s="113">
        <f>'update Rate'!F9</f>
        <v>1659.57</v>
      </c>
      <c r="G804" s="113">
        <f t="shared" si="25"/>
        <v>705.31000000000006</v>
      </c>
      <c r="H804" s="684"/>
    </row>
    <row r="805" spans="1:8" ht="20.100000000000001" customHeight="1">
      <c r="B805" s="1073"/>
      <c r="C805" s="58" t="s">
        <v>3749</v>
      </c>
      <c r="D805" s="45">
        <v>200</v>
      </c>
      <c r="E805" s="58" t="s">
        <v>3750</v>
      </c>
      <c r="F805" s="65">
        <f>'update Rate'!F508</f>
        <v>0.25</v>
      </c>
      <c r="G805" s="65">
        <f t="shared" si="25"/>
        <v>50</v>
      </c>
      <c r="H805" s="683">
        <f>SUM(G801:G805)</f>
        <v>8023.9000000000005</v>
      </c>
    </row>
    <row r="806" spans="1:8" ht="20.100000000000001" customHeight="1">
      <c r="F806" s="42" t="s">
        <v>1708</v>
      </c>
      <c r="G806" s="94"/>
      <c r="H806" s="65">
        <f>SUM(H805,H800)</f>
        <v>11068.900000000001</v>
      </c>
    </row>
    <row r="807" spans="1:8" ht="20.100000000000001" customHeight="1">
      <c r="B807" s="1" t="s">
        <v>3658</v>
      </c>
      <c r="F807" s="42" t="s">
        <v>1689</v>
      </c>
      <c r="G807" s="94"/>
      <c r="H807" s="103">
        <f>FLOOR(H806*0.15,0.01)</f>
        <v>1660.33</v>
      </c>
    </row>
    <row r="808" spans="1:8" ht="20.100000000000001" customHeight="1">
      <c r="A808" s="28" t="s">
        <v>3384</v>
      </c>
      <c r="B808" s="103">
        <f>+H808</f>
        <v>12729.230000000001</v>
      </c>
      <c r="C808" s="1" t="s">
        <v>3385</v>
      </c>
      <c r="F808" s="42" t="s">
        <v>1711</v>
      </c>
      <c r="G808" s="94"/>
      <c r="H808" s="103">
        <f>SUM(H806:H807)</f>
        <v>12729.230000000001</v>
      </c>
    </row>
    <row r="809" spans="1:8" ht="20.25" customHeight="1"/>
    <row r="810" spans="1:8" ht="20.25" customHeight="1"/>
    <row r="811" spans="1:8" ht="20.25" customHeight="1"/>
    <row r="812" spans="1:8" ht="20.25" customHeight="1"/>
    <row r="813" spans="1:8" ht="20.25" customHeight="1"/>
    <row r="814" spans="1:8" ht="20.25" customHeight="1"/>
    <row r="815" spans="1:8" ht="20.25" customHeight="1"/>
    <row r="816" spans="1:8" ht="20.25" customHeight="1"/>
    <row r="817" spans="1:8" ht="20.100000000000001" customHeight="1">
      <c r="B817" s="1089" t="s">
        <v>1516</v>
      </c>
      <c r="C817" s="1089"/>
      <c r="D817" s="1089"/>
      <c r="E817" s="1089"/>
      <c r="F817" s="1089"/>
      <c r="G817" s="1089"/>
      <c r="H817" s="1089"/>
    </row>
    <row r="818" spans="1:8" ht="20.100000000000001" customHeight="1">
      <c r="A818" s="282">
        <f>+A795+1</f>
        <v>50</v>
      </c>
      <c r="B818" s="1089" t="s">
        <v>1517</v>
      </c>
      <c r="C818" s="1089"/>
      <c r="D818" s="1089"/>
      <c r="E818" s="1089"/>
      <c r="F818" s="1089"/>
      <c r="G818" s="1089"/>
      <c r="H818" s="1089"/>
    </row>
    <row r="819" spans="1:8" ht="19.5">
      <c r="A819" s="688" t="s">
        <v>4382</v>
      </c>
      <c r="B819" s="1149" t="s">
        <v>1518</v>
      </c>
      <c r="C819" s="1089"/>
      <c r="D819" s="1089"/>
      <c r="E819" s="1089"/>
      <c r="F819" s="1089"/>
      <c r="G819" s="1089"/>
      <c r="H819" s="1089"/>
    </row>
    <row r="820" spans="1:8">
      <c r="B820" s="1092" t="s">
        <v>2529</v>
      </c>
      <c r="C820" s="1092"/>
      <c r="D820" s="1092"/>
      <c r="E820" s="1092"/>
      <c r="F820" s="1092"/>
      <c r="G820" s="1092"/>
      <c r="H820" s="1092"/>
    </row>
    <row r="821" spans="1:8" ht="31.5">
      <c r="B821" s="70" t="s">
        <v>3340</v>
      </c>
      <c r="C821" s="70" t="s">
        <v>3341</v>
      </c>
      <c r="D821" s="70" t="s">
        <v>3342</v>
      </c>
      <c r="E821" s="70" t="s">
        <v>3343</v>
      </c>
      <c r="F821" s="70" t="s">
        <v>3344</v>
      </c>
      <c r="G821" s="70" t="s">
        <v>3345</v>
      </c>
      <c r="H821" s="70" t="s">
        <v>1704</v>
      </c>
    </row>
    <row r="822" spans="1:8" ht="17.25">
      <c r="B822" s="1069" t="s">
        <v>1705</v>
      </c>
      <c r="C822" s="60" t="s">
        <v>610</v>
      </c>
      <c r="D822" s="43">
        <v>0.8</v>
      </c>
      <c r="E822" s="57" t="s">
        <v>1707</v>
      </c>
      <c r="F822" s="111">
        <f>'update Rate'!F5</f>
        <v>525</v>
      </c>
      <c r="G822" s="114">
        <f t="shared" ref="G822:G828" si="26">FLOOR(D822*F822,0.01)</f>
        <v>420</v>
      </c>
      <c r="H822" s="112"/>
    </row>
    <row r="823" spans="1:8" ht="17.25">
      <c r="B823" s="1070"/>
      <c r="C823" s="55" t="s">
        <v>1647</v>
      </c>
      <c r="D823" s="44">
        <v>7</v>
      </c>
      <c r="E823" s="55" t="s">
        <v>1707</v>
      </c>
      <c r="F823" s="113">
        <f>'update Rate'!F4</f>
        <v>375</v>
      </c>
      <c r="G823" s="113">
        <f t="shared" si="26"/>
        <v>2625</v>
      </c>
      <c r="H823" s="125">
        <f>SUM(G822+G823)</f>
        <v>3045</v>
      </c>
    </row>
    <row r="824" spans="1:8" ht="20.100000000000001" customHeight="1">
      <c r="B824" s="1069" t="s">
        <v>2330</v>
      </c>
      <c r="C824" s="57" t="s">
        <v>1650</v>
      </c>
      <c r="D824" s="43">
        <v>0.61</v>
      </c>
      <c r="E824" s="57" t="s">
        <v>804</v>
      </c>
      <c r="F824" s="114">
        <f>'update Rate'!F15</f>
        <v>14200</v>
      </c>
      <c r="G824" s="114">
        <f t="shared" si="26"/>
        <v>8662</v>
      </c>
      <c r="H824" s="112"/>
    </row>
    <row r="825" spans="1:8" ht="20.100000000000001" customHeight="1">
      <c r="B825" s="1094"/>
      <c r="C825" s="56" t="s">
        <v>651</v>
      </c>
      <c r="D825" s="259">
        <v>0.64</v>
      </c>
      <c r="E825" s="55" t="s">
        <v>2530</v>
      </c>
      <c r="F825" s="113">
        <f>'update Rate'!F34</f>
        <v>1906.74</v>
      </c>
      <c r="G825" s="113">
        <f t="shared" si="26"/>
        <v>1220.31</v>
      </c>
      <c r="H825" s="9"/>
    </row>
    <row r="826" spans="1:8" ht="20.100000000000001" customHeight="1">
      <c r="B826" s="1094"/>
      <c r="C826" s="55" t="s">
        <v>652</v>
      </c>
      <c r="D826" s="44">
        <v>0.21</v>
      </c>
      <c r="E826" s="55" t="s">
        <v>2530</v>
      </c>
      <c r="F826" s="113">
        <f>'update Rate'!F37</f>
        <v>1730.19</v>
      </c>
      <c r="G826" s="113">
        <f t="shared" si="26"/>
        <v>363.33</v>
      </c>
      <c r="H826" s="125"/>
    </row>
    <row r="827" spans="1:8" ht="20.100000000000001" customHeight="1">
      <c r="B827" s="1094"/>
      <c r="C827" s="55" t="s">
        <v>2177</v>
      </c>
      <c r="D827" s="54">
        <v>0.42499999999999999</v>
      </c>
      <c r="E827" s="55" t="s">
        <v>2530</v>
      </c>
      <c r="F827" s="113">
        <f>'update Rate'!F8</f>
        <v>1659.57</v>
      </c>
      <c r="G827" s="113">
        <f t="shared" si="26"/>
        <v>705.31000000000006</v>
      </c>
      <c r="H827" s="684"/>
    </row>
    <row r="828" spans="1:8" ht="20.100000000000001" customHeight="1">
      <c r="B828" s="1073"/>
      <c r="C828" s="58" t="s">
        <v>3749</v>
      </c>
      <c r="D828" s="45">
        <v>300</v>
      </c>
      <c r="E828" s="58" t="s">
        <v>3750</v>
      </c>
      <c r="F828" s="65">
        <f>'update Rate'!F508</f>
        <v>0.25</v>
      </c>
      <c r="G828" s="65">
        <f t="shared" si="26"/>
        <v>75</v>
      </c>
      <c r="H828" s="683">
        <f>SUM(G824:G828)</f>
        <v>11025.949999999999</v>
      </c>
    </row>
    <row r="829" spans="1:8" ht="15.75">
      <c r="F829" s="42" t="s">
        <v>1708</v>
      </c>
      <c r="G829" s="94"/>
      <c r="H829" s="65">
        <f>SUM(H823:H828)</f>
        <v>14070.949999999999</v>
      </c>
    </row>
    <row r="830" spans="1:8" ht="15.75">
      <c r="B830" s="1" t="s">
        <v>3658</v>
      </c>
      <c r="F830" s="42" t="s">
        <v>1689</v>
      </c>
      <c r="G830" s="94"/>
      <c r="H830" s="103">
        <f>FLOOR(H829*0.15,0.01)</f>
        <v>2110.64</v>
      </c>
    </row>
    <row r="831" spans="1:8" ht="15.75">
      <c r="A831" s="28" t="s">
        <v>3384</v>
      </c>
      <c r="B831" s="103">
        <f>+H831</f>
        <v>16181.589999999998</v>
      </c>
      <c r="C831" s="1" t="s">
        <v>3385</v>
      </c>
      <c r="F831" s="42" t="s">
        <v>1711</v>
      </c>
      <c r="G831" s="94"/>
      <c r="H831" s="103">
        <f>SUM(H829:H830)</f>
        <v>16181.589999999998</v>
      </c>
    </row>
    <row r="832" spans="1:8" ht="15.75">
      <c r="A832" s="28"/>
      <c r="B832" s="151"/>
      <c r="F832" s="42"/>
      <c r="G832" s="94"/>
      <c r="H832" s="151"/>
    </row>
    <row r="833" spans="1:8" ht="20.100000000000001" customHeight="1">
      <c r="A833" s="282">
        <f>+A818+1</f>
        <v>51</v>
      </c>
      <c r="B833" s="1089" t="s">
        <v>3776</v>
      </c>
      <c r="C833" s="1089"/>
      <c r="D833" s="1089"/>
      <c r="E833" s="1089"/>
      <c r="F833" s="1089"/>
      <c r="G833" s="1089"/>
      <c r="H833" s="1089"/>
    </row>
    <row r="834" spans="1:8" ht="18.75" customHeight="1">
      <c r="A834" s="688" t="s">
        <v>3775</v>
      </c>
      <c r="B834" s="1089" t="s">
        <v>1511</v>
      </c>
      <c r="C834" s="1089"/>
      <c r="D834" s="1089"/>
      <c r="E834" s="1089"/>
      <c r="F834" s="1089"/>
      <c r="G834" s="1089"/>
      <c r="H834" s="1089"/>
    </row>
    <row r="835" spans="1:8" ht="19.5">
      <c r="B835" s="1149" t="s">
        <v>1514</v>
      </c>
      <c r="C835" s="1089"/>
      <c r="D835" s="1089"/>
      <c r="E835" s="1089"/>
      <c r="F835" s="1089"/>
      <c r="G835" s="1089"/>
      <c r="H835" s="1089"/>
    </row>
    <row r="836" spans="1:8">
      <c r="B836" s="1092" t="s">
        <v>2529</v>
      </c>
      <c r="C836" s="1092"/>
      <c r="D836" s="1092"/>
      <c r="E836" s="1092"/>
      <c r="F836" s="1092"/>
      <c r="G836" s="1092"/>
      <c r="H836" s="1092"/>
    </row>
    <row r="837" spans="1:8" ht="31.5">
      <c r="B837" s="70" t="s">
        <v>3340</v>
      </c>
      <c r="C837" s="70" t="s">
        <v>3341</v>
      </c>
      <c r="D837" s="70" t="s">
        <v>3342</v>
      </c>
      <c r="E837" s="70" t="s">
        <v>3343</v>
      </c>
      <c r="F837" s="70" t="s">
        <v>3344</v>
      </c>
      <c r="G837" s="70" t="s">
        <v>3345</v>
      </c>
      <c r="H837" s="70" t="s">
        <v>1704</v>
      </c>
    </row>
    <row r="838" spans="1:8" ht="17.25">
      <c r="B838" s="1069" t="s">
        <v>1705</v>
      </c>
      <c r="C838" s="697" t="s">
        <v>610</v>
      </c>
      <c r="D838" s="43">
        <v>0.5</v>
      </c>
      <c r="E838" s="57" t="s">
        <v>1707</v>
      </c>
      <c r="F838" s="111">
        <f>'update Rate'!F5</f>
        <v>525</v>
      </c>
      <c r="G838" s="114">
        <f t="shared" ref="G838:G848" si="27">FLOOR(D838*F838,0.01)</f>
        <v>262.5</v>
      </c>
      <c r="H838" s="698"/>
    </row>
    <row r="839" spans="1:8" ht="17.25">
      <c r="B839" s="1070"/>
      <c r="C839" s="55" t="s">
        <v>1647</v>
      </c>
      <c r="D839" s="44">
        <v>3.5</v>
      </c>
      <c r="E839" s="55" t="s">
        <v>1707</v>
      </c>
      <c r="F839" s="113">
        <f>'update Rate'!F4</f>
        <v>375</v>
      </c>
      <c r="G839" s="113">
        <f t="shared" si="27"/>
        <v>1312.5</v>
      </c>
      <c r="H839" s="699">
        <f>SUM(G838+G839)</f>
        <v>1575</v>
      </c>
    </row>
    <row r="840" spans="1:8" ht="20.100000000000001" customHeight="1">
      <c r="B840" s="1069" t="s">
        <v>2330</v>
      </c>
      <c r="C840" s="57" t="s">
        <v>1650</v>
      </c>
      <c r="D840" s="258">
        <v>0.22</v>
      </c>
      <c r="E840" s="57" t="s">
        <v>804</v>
      </c>
      <c r="F840" s="114">
        <f>'update Rate'!F15</f>
        <v>14200</v>
      </c>
      <c r="G840" s="114">
        <f t="shared" si="27"/>
        <v>3124</v>
      </c>
      <c r="H840" s="698"/>
    </row>
    <row r="841" spans="1:8" ht="20.100000000000001" customHeight="1">
      <c r="B841" s="1094"/>
      <c r="C841" s="55" t="s">
        <v>650</v>
      </c>
      <c r="D841" s="259">
        <v>0.65</v>
      </c>
      <c r="E841" s="55" t="s">
        <v>2530</v>
      </c>
      <c r="F841" s="113">
        <f>'update Rate'!F33</f>
        <v>1836.12</v>
      </c>
      <c r="G841" s="113">
        <f t="shared" si="27"/>
        <v>1193.47</v>
      </c>
      <c r="H841" s="9"/>
    </row>
    <row r="842" spans="1:8" ht="20.100000000000001" customHeight="1">
      <c r="B842" s="1094"/>
      <c r="C842" s="56" t="s">
        <v>651</v>
      </c>
      <c r="D842" s="44">
        <v>0.24</v>
      </c>
      <c r="E842" s="55" t="s">
        <v>2530</v>
      </c>
      <c r="F842" s="113">
        <f>'update Rate'!F34</f>
        <v>1906.74</v>
      </c>
      <c r="G842" s="113">
        <f t="shared" si="27"/>
        <v>457.61</v>
      </c>
      <c r="H842" s="699"/>
    </row>
    <row r="843" spans="1:8" ht="20.100000000000001" customHeight="1">
      <c r="B843" s="1094"/>
      <c r="C843" s="55" t="s">
        <v>2177</v>
      </c>
      <c r="D843" s="54">
        <v>0.42499999999999999</v>
      </c>
      <c r="E843" s="55" t="s">
        <v>2530</v>
      </c>
      <c r="F843" s="113">
        <f>'update Rate'!F9</f>
        <v>1659.57</v>
      </c>
      <c r="G843" s="113">
        <f t="shared" si="27"/>
        <v>705.31000000000006</v>
      </c>
      <c r="H843" s="699"/>
    </row>
    <row r="844" spans="1:8" ht="20.100000000000001" customHeight="1">
      <c r="B844" s="1094"/>
      <c r="C844" s="55" t="s">
        <v>3749</v>
      </c>
      <c r="D844" s="44">
        <v>100</v>
      </c>
      <c r="E844" s="55" t="s">
        <v>3750</v>
      </c>
      <c r="F844" s="113">
        <f>'update Rate'!F508</f>
        <v>0.25</v>
      </c>
      <c r="G844" s="113">
        <f t="shared" si="27"/>
        <v>25</v>
      </c>
      <c r="H844" s="699"/>
    </row>
    <row r="845" spans="1:8" ht="20.100000000000001" customHeight="1">
      <c r="B845" s="1094"/>
      <c r="C845" s="55" t="s">
        <v>3761</v>
      </c>
      <c r="D845" s="44">
        <v>3</v>
      </c>
      <c r="E845" s="55" t="s">
        <v>3750</v>
      </c>
      <c r="F845" s="585">
        <f>'update Rate'!F485</f>
        <v>98</v>
      </c>
      <c r="G845" s="113">
        <f t="shared" si="27"/>
        <v>294</v>
      </c>
      <c r="H845" s="699"/>
    </row>
    <row r="846" spans="1:8" ht="20.100000000000001" customHeight="1">
      <c r="B846" s="1094"/>
      <c r="C846" s="58" t="s">
        <v>3779</v>
      </c>
      <c r="D846" s="45">
        <v>0.1</v>
      </c>
      <c r="E846" s="58" t="s">
        <v>3750</v>
      </c>
      <c r="F846" s="585">
        <f>'update Rate'!F486</f>
        <v>125</v>
      </c>
      <c r="G846" s="113">
        <f t="shared" si="27"/>
        <v>12.5</v>
      </c>
      <c r="H846" s="700">
        <f>SUM(G840:G846)</f>
        <v>5811.89</v>
      </c>
    </row>
    <row r="847" spans="1:8" ht="20.100000000000001" customHeight="1">
      <c r="B847" s="1067" t="s">
        <v>2119</v>
      </c>
      <c r="C847" s="57" t="s">
        <v>3777</v>
      </c>
      <c r="D847" s="43">
        <v>0.6</v>
      </c>
      <c r="E847" s="57" t="s">
        <v>2798</v>
      </c>
      <c r="F847" s="854">
        <f>'update Rate'!F511</f>
        <v>1875</v>
      </c>
      <c r="G847" s="114">
        <f t="shared" si="27"/>
        <v>1125</v>
      </c>
      <c r="H847" s="699"/>
    </row>
    <row r="848" spans="1:8" ht="20.100000000000001" customHeight="1">
      <c r="B848" s="1099"/>
      <c r="C848" s="58" t="s">
        <v>3778</v>
      </c>
      <c r="D848" s="45">
        <v>0.25</v>
      </c>
      <c r="E848" s="58" t="s">
        <v>2798</v>
      </c>
      <c r="F848" s="594">
        <f>'update Rate'!F507</f>
        <v>120</v>
      </c>
      <c r="G848" s="65">
        <f t="shared" si="27"/>
        <v>30</v>
      </c>
      <c r="H848" s="700">
        <f>SUM(G847:G848)</f>
        <v>1155</v>
      </c>
    </row>
    <row r="849" spans="1:8" ht="20.100000000000001" customHeight="1">
      <c r="D849" s="91"/>
      <c r="F849" s="42" t="s">
        <v>1708</v>
      </c>
      <c r="G849" s="94"/>
      <c r="H849" s="65">
        <f>SUM(H838:H848)</f>
        <v>8541.89</v>
      </c>
    </row>
    <row r="850" spans="1:8" ht="15.75">
      <c r="B850" s="1" t="s">
        <v>3658</v>
      </c>
      <c r="F850" s="42" t="s">
        <v>1689</v>
      </c>
      <c r="G850" s="94"/>
      <c r="H850" s="103">
        <f>FLOOR(H849*0.15,0.01)</f>
        <v>1281.28</v>
      </c>
    </row>
    <row r="851" spans="1:8" ht="20.100000000000001" customHeight="1">
      <c r="A851" s="28" t="s">
        <v>3384</v>
      </c>
      <c r="B851" s="103">
        <f>+H851</f>
        <v>9823.17</v>
      </c>
      <c r="C851" s="1" t="s">
        <v>3385</v>
      </c>
      <c r="F851" s="42" t="s">
        <v>1711</v>
      </c>
      <c r="G851" s="94"/>
      <c r="H851" s="103">
        <f>SUM(H849:H850)</f>
        <v>9823.17</v>
      </c>
    </row>
    <row r="852" spans="1:8" ht="17.25">
      <c r="B852" s="33"/>
      <c r="F852" s="42"/>
      <c r="G852" s="42"/>
      <c r="H852" s="93"/>
    </row>
    <row r="853" spans="1:8" ht="17.25">
      <c r="B853" s="33"/>
      <c r="F853" s="42"/>
      <c r="G853" s="42"/>
      <c r="H853" s="93"/>
    </row>
    <row r="854" spans="1:8" ht="17.25">
      <c r="B854" s="33"/>
      <c r="F854" s="42"/>
      <c r="G854" s="42"/>
      <c r="H854" s="93"/>
    </row>
    <row r="855" spans="1:8" ht="17.25">
      <c r="B855" s="33"/>
      <c r="F855" s="42"/>
      <c r="G855" s="42"/>
      <c r="H855" s="93"/>
    </row>
    <row r="856" spans="1:8" ht="17.25">
      <c r="B856" s="33"/>
      <c r="F856" s="42"/>
      <c r="G856" s="42"/>
      <c r="H856" s="93"/>
    </row>
    <row r="857" spans="1:8" ht="17.25">
      <c r="B857" s="33"/>
      <c r="F857" s="42"/>
      <c r="G857" s="42"/>
      <c r="H857" s="93"/>
    </row>
    <row r="858" spans="1:8" ht="17.25">
      <c r="B858" s="33"/>
      <c r="F858" s="42"/>
      <c r="G858" s="42"/>
      <c r="H858" s="93"/>
    </row>
    <row r="859" spans="1:8" ht="20.100000000000001" customHeight="1">
      <c r="A859" s="282">
        <f>+A833+1</f>
        <v>52</v>
      </c>
      <c r="B859" s="1089" t="s">
        <v>3776</v>
      </c>
      <c r="C859" s="1089"/>
      <c r="D859" s="1089"/>
      <c r="E859" s="1089"/>
      <c r="F859" s="1089"/>
      <c r="G859" s="1089"/>
      <c r="H859" s="1089"/>
    </row>
    <row r="860" spans="1:8" ht="18.75" customHeight="1">
      <c r="A860" s="688" t="s">
        <v>3775</v>
      </c>
      <c r="B860" s="1089" t="s">
        <v>1511</v>
      </c>
      <c r="C860" s="1089"/>
      <c r="D860" s="1089"/>
      <c r="E860" s="1089"/>
      <c r="F860" s="1089"/>
      <c r="G860" s="1089"/>
      <c r="H860" s="1089"/>
    </row>
    <row r="861" spans="1:8" ht="19.5">
      <c r="B861" s="1149" t="s">
        <v>1515</v>
      </c>
      <c r="C861" s="1089"/>
      <c r="D861" s="1089"/>
      <c r="E861" s="1089"/>
      <c r="F861" s="1089"/>
      <c r="G861" s="1089"/>
      <c r="H861" s="1089"/>
    </row>
    <row r="862" spans="1:8">
      <c r="B862" s="1092" t="s">
        <v>2529</v>
      </c>
      <c r="C862" s="1092"/>
      <c r="D862" s="1092"/>
      <c r="E862" s="1092"/>
      <c r="F862" s="1092"/>
      <c r="G862" s="1092"/>
      <c r="H862" s="1092"/>
    </row>
    <row r="863" spans="1:8" ht="31.5">
      <c r="B863" s="70" t="s">
        <v>3340</v>
      </c>
      <c r="C863" s="70" t="s">
        <v>3341</v>
      </c>
      <c r="D863" s="70" t="s">
        <v>3342</v>
      </c>
      <c r="E863" s="70" t="s">
        <v>3343</v>
      </c>
      <c r="F863" s="70" t="s">
        <v>3344</v>
      </c>
      <c r="G863" s="70" t="s">
        <v>3345</v>
      </c>
      <c r="H863" s="70" t="s">
        <v>1704</v>
      </c>
    </row>
    <row r="864" spans="1:8" ht="17.25">
      <c r="B864" s="1069" t="s">
        <v>1705</v>
      </c>
      <c r="C864" s="697" t="s">
        <v>610</v>
      </c>
      <c r="D864" s="43">
        <v>0.5</v>
      </c>
      <c r="E864" s="57" t="s">
        <v>1707</v>
      </c>
      <c r="F864" s="111">
        <f>'update Rate'!F5</f>
        <v>525</v>
      </c>
      <c r="G864" s="114">
        <f t="shared" ref="G864:G874" si="28">FLOOR(D864*F864,0.01)</f>
        <v>262.5</v>
      </c>
      <c r="H864" s="698"/>
    </row>
    <row r="865" spans="1:8" ht="17.25">
      <c r="B865" s="1070"/>
      <c r="C865" s="55" t="s">
        <v>1647</v>
      </c>
      <c r="D865" s="44">
        <v>3.5</v>
      </c>
      <c r="E865" s="55" t="s">
        <v>1707</v>
      </c>
      <c r="F865" s="113">
        <f>'update Rate'!F4</f>
        <v>375</v>
      </c>
      <c r="G865" s="113">
        <f t="shared" si="28"/>
        <v>1312.5</v>
      </c>
      <c r="H865" s="699">
        <f>SUM(G864+G865)</f>
        <v>1575</v>
      </c>
    </row>
    <row r="866" spans="1:8" ht="20.100000000000001" customHeight="1">
      <c r="B866" s="1069" t="s">
        <v>2330</v>
      </c>
      <c r="C866" s="57" t="s">
        <v>1650</v>
      </c>
      <c r="D866" s="258">
        <v>0.32</v>
      </c>
      <c r="E866" s="57" t="s">
        <v>804</v>
      </c>
      <c r="F866" s="114">
        <f>'update Rate'!F15</f>
        <v>14200</v>
      </c>
      <c r="G866" s="114">
        <f t="shared" si="28"/>
        <v>4544</v>
      </c>
      <c r="H866" s="698"/>
    </row>
    <row r="867" spans="1:8" ht="20.100000000000001" customHeight="1">
      <c r="B867" s="1094"/>
      <c r="C867" s="20" t="s">
        <v>650</v>
      </c>
      <c r="D867" s="259">
        <v>0.52</v>
      </c>
      <c r="E867" s="55" t="s">
        <v>2530</v>
      </c>
      <c r="F867" s="113">
        <f>'update Rate'!F33</f>
        <v>1836.12</v>
      </c>
      <c r="G867" s="113">
        <f t="shared" si="28"/>
        <v>954.78</v>
      </c>
      <c r="H867" s="9"/>
    </row>
    <row r="868" spans="1:8" ht="20.100000000000001" customHeight="1">
      <c r="B868" s="1094"/>
      <c r="C868" s="21" t="s">
        <v>651</v>
      </c>
      <c r="D868" s="44">
        <v>0.33</v>
      </c>
      <c r="E868" s="55" t="s">
        <v>2530</v>
      </c>
      <c r="F868" s="113">
        <f>'update Rate'!F34</f>
        <v>1906.74</v>
      </c>
      <c r="G868" s="113">
        <f t="shared" si="28"/>
        <v>629.22</v>
      </c>
      <c r="H868" s="699"/>
    </row>
    <row r="869" spans="1:8" ht="20.100000000000001" customHeight="1">
      <c r="B869" s="1094"/>
      <c r="C869" s="55" t="s">
        <v>2177</v>
      </c>
      <c r="D869" s="54">
        <v>0.44500000000000001</v>
      </c>
      <c r="E869" s="55" t="s">
        <v>2530</v>
      </c>
      <c r="F869" s="113">
        <f>'update Rate'!F9</f>
        <v>1659.57</v>
      </c>
      <c r="G869" s="113">
        <f t="shared" si="28"/>
        <v>738.5</v>
      </c>
      <c r="H869" s="699"/>
    </row>
    <row r="870" spans="1:8" ht="20.100000000000001" customHeight="1">
      <c r="B870" s="1094"/>
      <c r="C870" s="55" t="s">
        <v>3749</v>
      </c>
      <c r="D870" s="44">
        <v>130</v>
      </c>
      <c r="E870" s="55" t="s">
        <v>3750</v>
      </c>
      <c r="F870" s="113">
        <f>'update Rate'!F508</f>
        <v>0.25</v>
      </c>
      <c r="G870" s="113">
        <f t="shared" si="28"/>
        <v>32.5</v>
      </c>
      <c r="H870" s="699"/>
    </row>
    <row r="871" spans="1:8" ht="20.100000000000001" customHeight="1">
      <c r="B871" s="1094"/>
      <c r="C871" s="55" t="s">
        <v>3761</v>
      </c>
      <c r="D871" s="44">
        <v>3</v>
      </c>
      <c r="E871" s="55" t="s">
        <v>3750</v>
      </c>
      <c r="F871" s="585">
        <f>'update Rate'!F485</f>
        <v>98</v>
      </c>
      <c r="G871" s="113">
        <f t="shared" si="28"/>
        <v>294</v>
      </c>
      <c r="H871" s="699"/>
    </row>
    <row r="872" spans="1:8" ht="20.100000000000001" customHeight="1">
      <c r="B872" s="1094"/>
      <c r="C872" s="58" t="s">
        <v>3779</v>
      </c>
      <c r="D872" s="45">
        <v>0.1</v>
      </c>
      <c r="E872" s="58" t="s">
        <v>3750</v>
      </c>
      <c r="F872" s="594">
        <f>'update Rate'!F486</f>
        <v>125</v>
      </c>
      <c r="G872" s="65">
        <f t="shared" si="28"/>
        <v>12.5</v>
      </c>
      <c r="H872" s="700">
        <f>SUM(G866:G872)</f>
        <v>7205.5</v>
      </c>
    </row>
    <row r="873" spans="1:8" ht="20.100000000000001" customHeight="1">
      <c r="B873" s="1067" t="s">
        <v>2119</v>
      </c>
      <c r="C873" s="57" t="s">
        <v>3777</v>
      </c>
      <c r="D873" s="43">
        <v>0.6</v>
      </c>
      <c r="E873" s="57" t="s">
        <v>2798</v>
      </c>
      <c r="F873" s="854">
        <f>'update Rate'!F511</f>
        <v>1875</v>
      </c>
      <c r="G873" s="113">
        <f t="shared" si="28"/>
        <v>1125</v>
      </c>
      <c r="H873" s="699"/>
    </row>
    <row r="874" spans="1:8" ht="20.100000000000001" customHeight="1">
      <c r="B874" s="1099"/>
      <c r="C874" s="58" t="s">
        <v>3778</v>
      </c>
      <c r="D874" s="45">
        <v>0.25</v>
      </c>
      <c r="E874" s="58" t="s">
        <v>2798</v>
      </c>
      <c r="F874" s="594">
        <f>'update Rate'!F507</f>
        <v>120</v>
      </c>
      <c r="G874" s="65">
        <f t="shared" si="28"/>
        <v>30</v>
      </c>
      <c r="H874" s="700">
        <f>SUM(G873:G874)</f>
        <v>1155</v>
      </c>
    </row>
    <row r="875" spans="1:8" ht="20.100000000000001" customHeight="1">
      <c r="D875" s="91"/>
      <c r="F875" s="42" t="s">
        <v>1708</v>
      </c>
      <c r="G875" s="94"/>
      <c r="H875" s="65">
        <f>SUM(H864:H874)</f>
        <v>9935.5</v>
      </c>
    </row>
    <row r="876" spans="1:8" ht="15.75">
      <c r="B876" s="1" t="s">
        <v>3658</v>
      </c>
      <c r="F876" s="42" t="s">
        <v>1689</v>
      </c>
      <c r="G876" s="94"/>
      <c r="H876" s="103">
        <f>FLOOR(H875*0.15,0.01)</f>
        <v>1490.32</v>
      </c>
    </row>
    <row r="877" spans="1:8" ht="20.100000000000001" customHeight="1">
      <c r="A877" s="28" t="s">
        <v>3384</v>
      </c>
      <c r="B877" s="103">
        <f>+H877</f>
        <v>11425.82</v>
      </c>
      <c r="C877" s="1" t="s">
        <v>3385</v>
      </c>
      <c r="F877" s="42" t="s">
        <v>1711</v>
      </c>
      <c r="G877" s="94"/>
      <c r="H877" s="103">
        <f>SUM(H875:H876)</f>
        <v>11425.82</v>
      </c>
    </row>
    <row r="878" spans="1:8" ht="20.100000000000001" customHeight="1">
      <c r="A878" s="28"/>
      <c r="B878" s="151"/>
      <c r="F878" s="42"/>
      <c r="G878" s="94"/>
      <c r="H878" s="151"/>
    </row>
    <row r="879" spans="1:8" ht="20.100000000000001" customHeight="1">
      <c r="A879" s="282">
        <f>+A859+1</f>
        <v>53</v>
      </c>
      <c r="B879" s="1089" t="s">
        <v>3780</v>
      </c>
      <c r="C879" s="1089"/>
      <c r="D879" s="1089"/>
      <c r="E879" s="1089"/>
      <c r="F879" s="1089"/>
      <c r="G879" s="1089"/>
      <c r="H879" s="1089"/>
    </row>
    <row r="880" spans="1:8" ht="18.75" customHeight="1">
      <c r="A880" s="688" t="s">
        <v>3788</v>
      </c>
      <c r="B880" s="1089" t="s">
        <v>1511</v>
      </c>
      <c r="C880" s="1089"/>
      <c r="D880" s="1089"/>
      <c r="E880" s="1089"/>
      <c r="F880" s="1089"/>
      <c r="G880" s="1089"/>
      <c r="H880" s="1089"/>
    </row>
    <row r="881" spans="2:8" ht="19.5">
      <c r="B881" s="1149" t="s">
        <v>3781</v>
      </c>
      <c r="C881" s="1089"/>
      <c r="D881" s="1089"/>
      <c r="E881" s="1089"/>
      <c r="F881" s="1089"/>
      <c r="G881" s="1089"/>
      <c r="H881" s="1089"/>
    </row>
    <row r="882" spans="2:8">
      <c r="B882" s="1092" t="s">
        <v>2529</v>
      </c>
      <c r="C882" s="1092"/>
      <c r="D882" s="1092"/>
      <c r="E882" s="1092"/>
      <c r="F882" s="1092"/>
      <c r="G882" s="1092"/>
      <c r="H882" s="1092"/>
    </row>
    <row r="883" spans="2:8" ht="31.5">
      <c r="B883" s="70" t="s">
        <v>3340</v>
      </c>
      <c r="C883" s="70" t="s">
        <v>3341</v>
      </c>
      <c r="D883" s="70" t="s">
        <v>3342</v>
      </c>
      <c r="E883" s="70" t="s">
        <v>3343</v>
      </c>
      <c r="F883" s="70" t="s">
        <v>3344</v>
      </c>
      <c r="G883" s="70" t="s">
        <v>3345</v>
      </c>
      <c r="H883" s="70" t="s">
        <v>1704</v>
      </c>
    </row>
    <row r="884" spans="2:8" ht="17.25">
      <c r="B884" s="1069" t="s">
        <v>1705</v>
      </c>
      <c r="C884" s="697" t="s">
        <v>610</v>
      </c>
      <c r="D884" s="43">
        <v>0.5</v>
      </c>
      <c r="E884" s="57" t="s">
        <v>1707</v>
      </c>
      <c r="F884" s="111">
        <f>'update Rate'!F5</f>
        <v>525</v>
      </c>
      <c r="G884" s="114">
        <f t="shared" ref="G884:G894" si="29">FLOOR(D884*F884,0.01)</f>
        <v>262.5</v>
      </c>
      <c r="H884" s="698"/>
    </row>
    <row r="885" spans="2:8" ht="17.25">
      <c r="B885" s="1070"/>
      <c r="C885" s="55" t="s">
        <v>1647</v>
      </c>
      <c r="D885" s="44">
        <v>3.5</v>
      </c>
      <c r="E885" s="55" t="s">
        <v>1707</v>
      </c>
      <c r="F885" s="113">
        <f>'update Rate'!F4</f>
        <v>375</v>
      </c>
      <c r="G885" s="113">
        <f t="shared" si="29"/>
        <v>1312.5</v>
      </c>
      <c r="H885" s="699">
        <f>SUM(G884+G885)</f>
        <v>1575</v>
      </c>
    </row>
    <row r="886" spans="2:8" ht="20.100000000000001" customHeight="1">
      <c r="B886" s="1069" t="s">
        <v>2330</v>
      </c>
      <c r="C886" s="57" t="s">
        <v>1650</v>
      </c>
      <c r="D886" s="258">
        <v>0.4</v>
      </c>
      <c r="E886" s="57" t="s">
        <v>804</v>
      </c>
      <c r="F886" s="114">
        <f>'update Rate'!F15</f>
        <v>14200</v>
      </c>
      <c r="G886" s="114">
        <f t="shared" si="29"/>
        <v>5680</v>
      </c>
      <c r="H886" s="698"/>
    </row>
    <row r="887" spans="2:8" ht="20.100000000000001" customHeight="1">
      <c r="B887" s="1094"/>
      <c r="C887" s="21" t="s">
        <v>651</v>
      </c>
      <c r="D887" s="259">
        <v>0.56999999999999995</v>
      </c>
      <c r="E887" s="55" t="s">
        <v>2530</v>
      </c>
      <c r="F887" s="113">
        <f>'update Rate'!F34</f>
        <v>1906.74</v>
      </c>
      <c r="G887" s="113">
        <f t="shared" si="29"/>
        <v>1086.8399999999999</v>
      </c>
      <c r="H887" s="9"/>
    </row>
    <row r="888" spans="2:8" ht="20.100000000000001" customHeight="1">
      <c r="B888" s="1094"/>
      <c r="C888" s="20" t="s">
        <v>652</v>
      </c>
      <c r="D888" s="44">
        <v>0.28999999999999998</v>
      </c>
      <c r="E888" s="55" t="s">
        <v>2530</v>
      </c>
      <c r="F888" s="113">
        <f>'update Rate'!F37</f>
        <v>1730.19</v>
      </c>
      <c r="G888" s="113">
        <f t="shared" si="29"/>
        <v>501.75</v>
      </c>
      <c r="H888" s="699"/>
    </row>
    <row r="889" spans="2:8" ht="20.100000000000001" customHeight="1">
      <c r="B889" s="1094"/>
      <c r="C889" s="55" t="s">
        <v>2177</v>
      </c>
      <c r="D889" s="54">
        <v>0.42499999999999999</v>
      </c>
      <c r="E889" s="55" t="s">
        <v>2530</v>
      </c>
      <c r="F889" s="113">
        <f>'update Rate'!F9</f>
        <v>1659.57</v>
      </c>
      <c r="G889" s="113">
        <f t="shared" si="29"/>
        <v>705.31000000000006</v>
      </c>
      <c r="H889" s="699"/>
    </row>
    <row r="890" spans="2:8" ht="20.100000000000001" customHeight="1">
      <c r="B890" s="1094"/>
      <c r="C890" s="55" t="s">
        <v>3749</v>
      </c>
      <c r="D890" s="44">
        <v>200</v>
      </c>
      <c r="E890" s="55" t="s">
        <v>3750</v>
      </c>
      <c r="F890" s="113">
        <f>'update Rate'!F508</f>
        <v>0.25</v>
      </c>
      <c r="G890" s="113">
        <f t="shared" si="29"/>
        <v>50</v>
      </c>
      <c r="H890" s="699"/>
    </row>
    <row r="891" spans="2:8" ht="20.100000000000001" customHeight="1">
      <c r="B891" s="1094"/>
      <c r="C891" s="55" t="s">
        <v>3761</v>
      </c>
      <c r="D891" s="44">
        <v>3</v>
      </c>
      <c r="E891" s="55" t="s">
        <v>3750</v>
      </c>
      <c r="F891" s="585">
        <f>'update Rate'!F485</f>
        <v>98</v>
      </c>
      <c r="G891" s="113">
        <f t="shared" si="29"/>
        <v>294</v>
      </c>
      <c r="H891" s="699"/>
    </row>
    <row r="892" spans="2:8" ht="20.100000000000001" customHeight="1">
      <c r="B892" s="1094"/>
      <c r="C892" s="58" t="s">
        <v>3779</v>
      </c>
      <c r="D892" s="45">
        <v>0.1</v>
      </c>
      <c r="E892" s="58" t="s">
        <v>3750</v>
      </c>
      <c r="F892" s="585">
        <f>'update Rate'!F486</f>
        <v>125</v>
      </c>
      <c r="G892" s="113">
        <f t="shared" si="29"/>
        <v>12.5</v>
      </c>
      <c r="H892" s="700">
        <f>SUM(G886:G892)</f>
        <v>8330.4000000000015</v>
      </c>
    </row>
    <row r="893" spans="2:8" ht="20.100000000000001" customHeight="1">
      <c r="B893" s="1067" t="s">
        <v>2119</v>
      </c>
      <c r="C893" s="57" t="s">
        <v>3777</v>
      </c>
      <c r="D893" s="43">
        <v>0.6</v>
      </c>
      <c r="E893" s="57" t="s">
        <v>2798</v>
      </c>
      <c r="F893" s="854">
        <f>'update Rate'!F511</f>
        <v>1875</v>
      </c>
      <c r="G893" s="114">
        <f t="shared" si="29"/>
        <v>1125</v>
      </c>
      <c r="H893" s="699"/>
    </row>
    <row r="894" spans="2:8" ht="20.100000000000001" customHeight="1">
      <c r="B894" s="1099"/>
      <c r="C894" s="58" t="s">
        <v>3778</v>
      </c>
      <c r="D894" s="45">
        <v>0.25</v>
      </c>
      <c r="E894" s="58" t="s">
        <v>2798</v>
      </c>
      <c r="F894" s="594">
        <f>'update Rate'!F507</f>
        <v>120</v>
      </c>
      <c r="G894" s="65">
        <f t="shared" si="29"/>
        <v>30</v>
      </c>
      <c r="H894" s="700">
        <f>SUM(G893:G894)</f>
        <v>1155</v>
      </c>
    </row>
    <row r="895" spans="2:8" ht="20.100000000000001" customHeight="1">
      <c r="D895" s="91"/>
      <c r="F895" s="42" t="s">
        <v>1708</v>
      </c>
      <c r="G895" s="94"/>
      <c r="H895" s="65">
        <f>SUM(H884:H894)</f>
        <v>11060.400000000001</v>
      </c>
    </row>
    <row r="896" spans="2:8" ht="15.75">
      <c r="B896" s="1" t="s">
        <v>3658</v>
      </c>
      <c r="F896" s="42" t="s">
        <v>1689</v>
      </c>
      <c r="G896" s="94"/>
      <c r="H896" s="103">
        <f>FLOOR(H895*0.15,0.01)</f>
        <v>1659.06</v>
      </c>
    </row>
    <row r="897" spans="1:8" ht="20.100000000000001" customHeight="1">
      <c r="A897" s="28" t="s">
        <v>3384</v>
      </c>
      <c r="B897" s="103">
        <f>+H897</f>
        <v>12719.460000000001</v>
      </c>
      <c r="C897" s="1" t="s">
        <v>3385</v>
      </c>
      <c r="F897" s="42" t="s">
        <v>1711</v>
      </c>
      <c r="G897" s="94"/>
      <c r="H897" s="103">
        <f>SUM(H895:H896)</f>
        <v>12719.460000000001</v>
      </c>
    </row>
    <row r="898" spans="1:8" ht="20.100000000000001" customHeight="1">
      <c r="A898" s="28"/>
      <c r="B898" s="151"/>
      <c r="F898" s="42"/>
      <c r="G898" s="94"/>
      <c r="H898" s="151"/>
    </row>
    <row r="899" spans="1:8" ht="20.100000000000001" customHeight="1">
      <c r="A899" s="28"/>
      <c r="B899" s="151"/>
      <c r="F899" s="42"/>
      <c r="G899" s="94"/>
      <c r="H899" s="151"/>
    </row>
    <row r="900" spans="1:8" ht="20.100000000000001" customHeight="1">
      <c r="A900" s="28"/>
      <c r="B900" s="151"/>
      <c r="F900" s="42"/>
      <c r="G900" s="94"/>
      <c r="H900" s="151"/>
    </row>
    <row r="901" spans="1:8" ht="20.100000000000001" customHeight="1">
      <c r="A901" s="28"/>
      <c r="B901" s="151"/>
      <c r="F901" s="42"/>
      <c r="G901" s="94"/>
      <c r="H901" s="151"/>
    </row>
    <row r="902" spans="1:8" ht="20.100000000000001" customHeight="1">
      <c r="A902" s="28"/>
      <c r="B902" s="151"/>
      <c r="F902" s="42"/>
      <c r="G902" s="94"/>
      <c r="H902" s="151"/>
    </row>
    <row r="904" spans="1:8" ht="20.100000000000001" customHeight="1">
      <c r="A904" s="282">
        <f>+A879+1</f>
        <v>54</v>
      </c>
      <c r="B904" s="1089" t="s">
        <v>3780</v>
      </c>
      <c r="C904" s="1089"/>
      <c r="D904" s="1089"/>
      <c r="E904" s="1089"/>
      <c r="F904" s="1089"/>
      <c r="G904" s="1089"/>
      <c r="H904" s="1089"/>
    </row>
    <row r="905" spans="1:8" ht="18.75" customHeight="1">
      <c r="A905" s="688" t="s">
        <v>3788</v>
      </c>
      <c r="B905" s="1089" t="s">
        <v>1511</v>
      </c>
      <c r="C905" s="1089"/>
      <c r="D905" s="1089"/>
      <c r="E905" s="1089"/>
      <c r="F905" s="1089"/>
      <c r="G905" s="1089"/>
      <c r="H905" s="1089"/>
    </row>
    <row r="906" spans="1:8" ht="19.5">
      <c r="B906" s="1149" t="s">
        <v>1518</v>
      </c>
      <c r="C906" s="1089"/>
      <c r="D906" s="1089"/>
      <c r="E906" s="1089"/>
      <c r="F906" s="1089"/>
      <c r="G906" s="1089"/>
      <c r="H906" s="1089"/>
    </row>
    <row r="907" spans="1:8">
      <c r="B907" s="1092" t="s">
        <v>2529</v>
      </c>
      <c r="C907" s="1092"/>
      <c r="D907" s="1092"/>
      <c r="E907" s="1092"/>
      <c r="F907" s="1092"/>
      <c r="G907" s="1092"/>
      <c r="H907" s="1092"/>
    </row>
    <row r="908" spans="1:8" ht="31.5">
      <c r="B908" s="70" t="s">
        <v>3340</v>
      </c>
      <c r="C908" s="70" t="s">
        <v>3341</v>
      </c>
      <c r="D908" s="70" t="s">
        <v>3342</v>
      </c>
      <c r="E908" s="70" t="s">
        <v>3343</v>
      </c>
      <c r="F908" s="70" t="s">
        <v>3344</v>
      </c>
      <c r="G908" s="70" t="s">
        <v>3345</v>
      </c>
      <c r="H908" s="70" t="s">
        <v>1704</v>
      </c>
    </row>
    <row r="909" spans="1:8" ht="17.25">
      <c r="B909" s="1069" t="s">
        <v>1705</v>
      </c>
      <c r="C909" s="697" t="s">
        <v>610</v>
      </c>
      <c r="D909" s="43">
        <v>0.5</v>
      </c>
      <c r="E909" s="57" t="s">
        <v>1707</v>
      </c>
      <c r="F909" s="111">
        <f>'update Rate'!F5</f>
        <v>525</v>
      </c>
      <c r="G909" s="114">
        <f t="shared" ref="G909:G919" si="30">FLOOR(D909*F909,0.01)</f>
        <v>262.5</v>
      </c>
      <c r="H909" s="698"/>
    </row>
    <row r="910" spans="1:8" ht="17.25">
      <c r="B910" s="1070"/>
      <c r="C910" s="55" t="s">
        <v>1647</v>
      </c>
      <c r="D910" s="44">
        <v>3.5</v>
      </c>
      <c r="E910" s="55" t="s">
        <v>1707</v>
      </c>
      <c r="F910" s="113">
        <f>'update Rate'!F4</f>
        <v>375</v>
      </c>
      <c r="G910" s="113">
        <f t="shared" si="30"/>
        <v>1312.5</v>
      </c>
      <c r="H910" s="699">
        <f>SUM(G909+G910)</f>
        <v>1575</v>
      </c>
    </row>
    <row r="911" spans="1:8" ht="20.100000000000001" customHeight="1">
      <c r="B911" s="1069" t="s">
        <v>2330</v>
      </c>
      <c r="C911" s="57" t="s">
        <v>1650</v>
      </c>
      <c r="D911" s="258">
        <v>0.61</v>
      </c>
      <c r="E911" s="57" t="s">
        <v>804</v>
      </c>
      <c r="F911" s="114">
        <f>'update Rate'!F15</f>
        <v>14200</v>
      </c>
      <c r="G911" s="114">
        <f t="shared" si="30"/>
        <v>8662</v>
      </c>
      <c r="H911" s="698"/>
    </row>
    <row r="912" spans="1:8" ht="20.100000000000001" customHeight="1">
      <c r="B912" s="1094"/>
      <c r="C912" s="21" t="s">
        <v>651</v>
      </c>
      <c r="D912" s="259">
        <v>0.64</v>
      </c>
      <c r="E912" s="55" t="s">
        <v>2530</v>
      </c>
      <c r="F912" s="113">
        <f>'update Rate'!F34</f>
        <v>1906.74</v>
      </c>
      <c r="G912" s="113">
        <f t="shared" si="30"/>
        <v>1220.31</v>
      </c>
      <c r="H912" s="9"/>
    </row>
    <row r="913" spans="1:8" ht="20.100000000000001" customHeight="1">
      <c r="B913" s="1094"/>
      <c r="C913" s="20" t="s">
        <v>652</v>
      </c>
      <c r="D913" s="44">
        <v>0.21</v>
      </c>
      <c r="E913" s="55" t="s">
        <v>2530</v>
      </c>
      <c r="F913" s="113">
        <f>'update Rate'!F37</f>
        <v>1730.19</v>
      </c>
      <c r="G913" s="113">
        <f t="shared" si="30"/>
        <v>363.33</v>
      </c>
      <c r="H913" s="699"/>
    </row>
    <row r="914" spans="1:8" ht="20.100000000000001" customHeight="1">
      <c r="B914" s="1094"/>
      <c r="C914" s="55" t="s">
        <v>2177</v>
      </c>
      <c r="D914" s="54">
        <v>0.42499999999999999</v>
      </c>
      <c r="E914" s="55" t="s">
        <v>2530</v>
      </c>
      <c r="F914" s="113">
        <f>'update Rate'!F9</f>
        <v>1659.57</v>
      </c>
      <c r="G914" s="113">
        <f t="shared" si="30"/>
        <v>705.31000000000006</v>
      </c>
      <c r="H914" s="699"/>
    </row>
    <row r="915" spans="1:8" ht="20.100000000000001" customHeight="1">
      <c r="B915" s="1094"/>
      <c r="C915" s="55" t="s">
        <v>3749</v>
      </c>
      <c r="D915" s="44">
        <v>300</v>
      </c>
      <c r="E915" s="55" t="s">
        <v>3750</v>
      </c>
      <c r="F915" s="113">
        <f>'update Rate'!F508</f>
        <v>0.25</v>
      </c>
      <c r="G915" s="113">
        <f t="shared" si="30"/>
        <v>75</v>
      </c>
      <c r="H915" s="699"/>
    </row>
    <row r="916" spans="1:8" ht="20.100000000000001" customHeight="1">
      <c r="B916" s="1094"/>
      <c r="C916" s="55" t="s">
        <v>3761</v>
      </c>
      <c r="D916" s="44">
        <v>3</v>
      </c>
      <c r="E916" s="55" t="s">
        <v>3750</v>
      </c>
      <c r="F916" s="585">
        <f>'update Rate'!F485</f>
        <v>98</v>
      </c>
      <c r="G916" s="113">
        <f t="shared" si="30"/>
        <v>294</v>
      </c>
      <c r="H916" s="699"/>
    </row>
    <row r="917" spans="1:8" ht="20.100000000000001" customHeight="1">
      <c r="B917" s="1094"/>
      <c r="C917" s="58" t="s">
        <v>3779</v>
      </c>
      <c r="D917" s="45">
        <v>0.1</v>
      </c>
      <c r="E917" s="58" t="s">
        <v>3750</v>
      </c>
      <c r="F917" s="585">
        <f>'update Rate'!F486</f>
        <v>125</v>
      </c>
      <c r="G917" s="113">
        <f t="shared" si="30"/>
        <v>12.5</v>
      </c>
      <c r="H917" s="700">
        <f>SUM(G911:G917)</f>
        <v>11332.449999999999</v>
      </c>
    </row>
    <row r="918" spans="1:8" ht="20.100000000000001" customHeight="1">
      <c r="B918" s="1067" t="s">
        <v>2119</v>
      </c>
      <c r="C918" s="57" t="s">
        <v>3777</v>
      </c>
      <c r="D918" s="43">
        <v>0.6</v>
      </c>
      <c r="E918" s="57" t="s">
        <v>2798</v>
      </c>
      <c r="F918" s="854">
        <f>'update Rate'!F511</f>
        <v>1875</v>
      </c>
      <c r="G918" s="114">
        <f t="shared" si="30"/>
        <v>1125</v>
      </c>
      <c r="H918" s="699"/>
    </row>
    <row r="919" spans="1:8" ht="20.100000000000001" customHeight="1">
      <c r="B919" s="1099"/>
      <c r="C919" s="58" t="s">
        <v>3778</v>
      </c>
      <c r="D919" s="45">
        <v>0.25</v>
      </c>
      <c r="E919" s="58" t="s">
        <v>2798</v>
      </c>
      <c r="F919" s="594">
        <f>'update Rate'!F507</f>
        <v>120</v>
      </c>
      <c r="G919" s="65">
        <f t="shared" si="30"/>
        <v>30</v>
      </c>
      <c r="H919" s="700">
        <f>SUM(G918:G919)</f>
        <v>1155</v>
      </c>
    </row>
    <row r="920" spans="1:8" ht="20.100000000000001" customHeight="1">
      <c r="D920" s="91"/>
      <c r="F920" s="42" t="s">
        <v>1708</v>
      </c>
      <c r="G920" s="94"/>
      <c r="H920" s="65">
        <f>SUM(H909:H919)</f>
        <v>14062.449999999999</v>
      </c>
    </row>
    <row r="921" spans="1:8" ht="15.75">
      <c r="B921" s="1" t="s">
        <v>3658</v>
      </c>
      <c r="F921" s="42" t="s">
        <v>1689</v>
      </c>
      <c r="G921" s="94"/>
      <c r="H921" s="103">
        <f>FLOOR(H920*0.15,0.01)</f>
        <v>2109.36</v>
      </c>
    </row>
    <row r="922" spans="1:8" ht="20.100000000000001" customHeight="1">
      <c r="A922" s="28" t="s">
        <v>3384</v>
      </c>
      <c r="B922" s="103">
        <f>+H922</f>
        <v>16171.81</v>
      </c>
      <c r="C922" s="1" t="s">
        <v>3385</v>
      </c>
      <c r="F922" s="42" t="s">
        <v>1711</v>
      </c>
      <c r="G922" s="94"/>
      <c r="H922" s="103">
        <f>SUM(H920:H921)</f>
        <v>16171.81</v>
      </c>
    </row>
    <row r="923" spans="1:8" ht="20.100000000000001" customHeight="1">
      <c r="A923" s="28"/>
      <c r="B923" s="151"/>
      <c r="F923" s="42"/>
      <c r="G923" s="94"/>
      <c r="H923" s="151"/>
    </row>
    <row r="924" spans="1:8" ht="20.100000000000001" customHeight="1">
      <c r="A924" s="282">
        <f>+A904+1</f>
        <v>55</v>
      </c>
      <c r="B924" s="1089" t="s">
        <v>3785</v>
      </c>
      <c r="C924" s="1089"/>
      <c r="D924" s="1089"/>
      <c r="E924" s="1089"/>
      <c r="F924" s="1089"/>
      <c r="G924" s="1089"/>
      <c r="H924" s="1089"/>
    </row>
    <row r="925" spans="1:8" ht="18.75" customHeight="1">
      <c r="A925" s="688" t="s">
        <v>3787</v>
      </c>
      <c r="B925" s="1089" t="s">
        <v>3782</v>
      </c>
      <c r="C925" s="1089"/>
      <c r="D925" s="1089"/>
      <c r="E925" s="1089"/>
      <c r="F925" s="1089"/>
      <c r="G925" s="1089"/>
      <c r="H925" s="1089"/>
    </row>
    <row r="926" spans="1:8" ht="19.5">
      <c r="B926" s="1149" t="s">
        <v>1518</v>
      </c>
      <c r="C926" s="1089"/>
      <c r="D926" s="1089"/>
      <c r="E926" s="1089"/>
      <c r="F926" s="1089"/>
      <c r="G926" s="1089"/>
      <c r="H926" s="1089"/>
    </row>
    <row r="927" spans="1:8">
      <c r="B927" s="1092" t="s">
        <v>2529</v>
      </c>
      <c r="C927" s="1092"/>
      <c r="D927" s="1092"/>
      <c r="E927" s="1092"/>
      <c r="F927" s="1092"/>
      <c r="G927" s="1092"/>
      <c r="H927" s="1092"/>
    </row>
    <row r="928" spans="1:8" ht="31.5">
      <c r="B928" s="70" t="s">
        <v>3340</v>
      </c>
      <c r="C928" s="70" t="s">
        <v>3341</v>
      </c>
      <c r="D928" s="70" t="s">
        <v>3342</v>
      </c>
      <c r="E928" s="70" t="s">
        <v>3343</v>
      </c>
      <c r="F928" s="70" t="s">
        <v>3344</v>
      </c>
      <c r="G928" s="70" t="s">
        <v>3345</v>
      </c>
      <c r="H928" s="70" t="s">
        <v>1704</v>
      </c>
    </row>
    <row r="929" spans="1:8" ht="17.25">
      <c r="B929" s="1069" t="s">
        <v>1705</v>
      </c>
      <c r="C929" s="697" t="s">
        <v>610</v>
      </c>
      <c r="D929" s="43">
        <v>0.5</v>
      </c>
      <c r="E929" s="57" t="s">
        <v>1707</v>
      </c>
      <c r="F929" s="111">
        <f>'update Rate'!F5</f>
        <v>525</v>
      </c>
      <c r="G929" s="114">
        <f t="shared" ref="G929:G940" si="31">FLOOR(D929*F929,0.01)</f>
        <v>262.5</v>
      </c>
      <c r="H929" s="698"/>
    </row>
    <row r="930" spans="1:8" ht="17.25">
      <c r="B930" s="1070"/>
      <c r="C930" s="55" t="s">
        <v>1647</v>
      </c>
      <c r="D930" s="44">
        <v>3.5</v>
      </c>
      <c r="E930" s="55" t="s">
        <v>1707</v>
      </c>
      <c r="F930" s="113">
        <f>'update Rate'!F4</f>
        <v>375</v>
      </c>
      <c r="G930" s="113">
        <f t="shared" si="31"/>
        <v>1312.5</v>
      </c>
      <c r="H930" s="699">
        <f>SUM(G929+G930)</f>
        <v>1575</v>
      </c>
    </row>
    <row r="931" spans="1:8" ht="20.100000000000001" customHeight="1">
      <c r="B931" s="1069" t="s">
        <v>2330</v>
      </c>
      <c r="C931" s="57" t="s">
        <v>1650</v>
      </c>
      <c r="D931" s="258">
        <v>0.6</v>
      </c>
      <c r="E931" s="57" t="s">
        <v>804</v>
      </c>
      <c r="F931" s="114">
        <f>'update Rate'!F15</f>
        <v>14200</v>
      </c>
      <c r="G931" s="114">
        <f t="shared" si="31"/>
        <v>8520</v>
      </c>
      <c r="H931" s="698"/>
    </row>
    <row r="932" spans="1:8" ht="20.100000000000001" customHeight="1">
      <c r="B932" s="1094"/>
      <c r="C932" s="56" t="s">
        <v>3786</v>
      </c>
      <c r="D932" s="259">
        <v>0.82499999999999996</v>
      </c>
      <c r="E932" s="55" t="s">
        <v>2530</v>
      </c>
      <c r="F932" s="113">
        <f>'update Rate'!F37</f>
        <v>1730.19</v>
      </c>
      <c r="G932" s="113">
        <f t="shared" si="31"/>
        <v>1427.4</v>
      </c>
      <c r="H932" s="9"/>
    </row>
    <row r="933" spans="1:8" ht="20.100000000000001" customHeight="1">
      <c r="B933" s="1094"/>
      <c r="C933" s="55" t="s">
        <v>2177</v>
      </c>
      <c r="D933" s="54">
        <v>0.41199999999999998</v>
      </c>
      <c r="E933" s="55" t="s">
        <v>2530</v>
      </c>
      <c r="F933" s="113">
        <f>'update Rate'!F9</f>
        <v>1659.57</v>
      </c>
      <c r="G933" s="113">
        <f t="shared" si="31"/>
        <v>683.74</v>
      </c>
      <c r="H933" s="699"/>
    </row>
    <row r="934" spans="1:8" ht="20.100000000000001" customHeight="1">
      <c r="B934" s="1094"/>
      <c r="C934" s="55" t="s">
        <v>3783</v>
      </c>
      <c r="D934" s="44">
        <v>12</v>
      </c>
      <c r="E934" s="55" t="s">
        <v>3750</v>
      </c>
      <c r="F934" s="585">
        <f>'update Rate'!F487</f>
        <v>250</v>
      </c>
      <c r="G934" s="113">
        <f t="shared" si="31"/>
        <v>3000</v>
      </c>
      <c r="H934" s="699"/>
    </row>
    <row r="935" spans="1:8" ht="20.100000000000001" customHeight="1">
      <c r="B935" s="1094"/>
      <c r="C935" s="55" t="s">
        <v>3784</v>
      </c>
      <c r="D935" s="44">
        <v>40</v>
      </c>
      <c r="E935" s="55" t="s">
        <v>3096</v>
      </c>
      <c r="F935" s="585">
        <f>'update Rate'!F488</f>
        <v>289</v>
      </c>
      <c r="G935" s="113">
        <f t="shared" si="31"/>
        <v>11560</v>
      </c>
      <c r="H935" s="699"/>
    </row>
    <row r="936" spans="1:8" ht="20.100000000000001" customHeight="1">
      <c r="B936" s="1094"/>
      <c r="C936" s="55" t="s">
        <v>3749</v>
      </c>
      <c r="D936" s="44">
        <v>150</v>
      </c>
      <c r="E936" s="55" t="s">
        <v>3750</v>
      </c>
      <c r="F936" s="585">
        <f>'update Rate'!F508</f>
        <v>0.25</v>
      </c>
      <c r="G936" s="113">
        <f t="shared" si="31"/>
        <v>37.5</v>
      </c>
      <c r="H936" s="699"/>
    </row>
    <row r="937" spans="1:8" ht="20.100000000000001" customHeight="1">
      <c r="B937" s="1094"/>
      <c r="C937" s="55" t="s">
        <v>3761</v>
      </c>
      <c r="D937" s="44">
        <v>3</v>
      </c>
      <c r="E937" s="55" t="s">
        <v>3750</v>
      </c>
      <c r="F937" s="585">
        <f>'update Rate'!F485</f>
        <v>98</v>
      </c>
      <c r="G937" s="113">
        <f t="shared" si="31"/>
        <v>294</v>
      </c>
      <c r="H937" s="699"/>
    </row>
    <row r="938" spans="1:8" ht="20.100000000000001" customHeight="1">
      <c r="B938" s="1094"/>
      <c r="C938" s="58" t="s">
        <v>3779</v>
      </c>
      <c r="D938" s="45">
        <v>0.1</v>
      </c>
      <c r="E938" s="58" t="s">
        <v>3750</v>
      </c>
      <c r="F938" s="585">
        <f>'update Rate'!F486</f>
        <v>125</v>
      </c>
      <c r="G938" s="113">
        <f t="shared" si="31"/>
        <v>12.5</v>
      </c>
      <c r="H938" s="700">
        <f>SUM(G931:G938)</f>
        <v>25535.14</v>
      </c>
    </row>
    <row r="939" spans="1:8" ht="20.100000000000001" customHeight="1">
      <c r="B939" s="1067" t="s">
        <v>2119</v>
      </c>
      <c r="C939" s="57" t="s">
        <v>3777</v>
      </c>
      <c r="D939" s="43">
        <v>0.6</v>
      </c>
      <c r="E939" s="57" t="s">
        <v>2798</v>
      </c>
      <c r="F939" s="854">
        <f>'update Rate'!F511</f>
        <v>1875</v>
      </c>
      <c r="G939" s="114">
        <f t="shared" si="31"/>
        <v>1125</v>
      </c>
      <c r="H939" s="699"/>
    </row>
    <row r="940" spans="1:8" ht="20.100000000000001" customHeight="1">
      <c r="B940" s="1099"/>
      <c r="C940" s="58" t="s">
        <v>3778</v>
      </c>
      <c r="D940" s="45">
        <v>0.25</v>
      </c>
      <c r="E940" s="58" t="s">
        <v>2798</v>
      </c>
      <c r="F940" s="594">
        <f>'update Rate'!F507</f>
        <v>120</v>
      </c>
      <c r="G940" s="65">
        <f t="shared" si="31"/>
        <v>30</v>
      </c>
      <c r="H940" s="700">
        <f>SUM(G939:G940)</f>
        <v>1155</v>
      </c>
    </row>
    <row r="941" spans="1:8" ht="20.100000000000001" customHeight="1">
      <c r="D941" s="91"/>
      <c r="F941" s="42" t="s">
        <v>1708</v>
      </c>
      <c r="G941" s="94"/>
      <c r="H941" s="65">
        <f>SUM(H929:H940)</f>
        <v>28265.14</v>
      </c>
    </row>
    <row r="942" spans="1:8" ht="15.75">
      <c r="B942" s="1" t="s">
        <v>3658</v>
      </c>
      <c r="F942" s="42" t="s">
        <v>1689</v>
      </c>
      <c r="G942" s="94"/>
      <c r="H942" s="103">
        <f>FLOOR(H941*0.15,0.01)</f>
        <v>4239.7700000000004</v>
      </c>
    </row>
    <row r="943" spans="1:8" ht="20.100000000000001" customHeight="1">
      <c r="A943" s="28" t="s">
        <v>3384</v>
      </c>
      <c r="B943" s="103">
        <f>+H943</f>
        <v>32504.91</v>
      </c>
      <c r="C943" s="1" t="s">
        <v>3385</v>
      </c>
      <c r="F943" s="42" t="s">
        <v>1711</v>
      </c>
      <c r="G943" s="94"/>
      <c r="H943" s="103">
        <f>SUM(H941:H942)</f>
        <v>32504.91</v>
      </c>
    </row>
    <row r="944" spans="1:8" ht="20.100000000000001" customHeight="1">
      <c r="A944" s="28"/>
      <c r="B944" s="151"/>
      <c r="F944" s="42"/>
      <c r="G944" s="94"/>
      <c r="H944" s="151"/>
    </row>
    <row r="945" spans="1:8" ht="20.100000000000001" customHeight="1">
      <c r="A945" s="28"/>
      <c r="B945" s="151"/>
      <c r="F945" s="42"/>
      <c r="G945" s="94"/>
      <c r="H945" s="151"/>
    </row>
    <row r="946" spans="1:8" ht="20.100000000000001" customHeight="1">
      <c r="A946" s="28"/>
      <c r="B946" s="151"/>
      <c r="F946" s="42"/>
      <c r="G946" s="94"/>
      <c r="H946" s="151"/>
    </row>
    <row r="947" spans="1:8" ht="20.100000000000001" customHeight="1">
      <c r="A947" s="28"/>
      <c r="B947" s="151"/>
      <c r="F947" s="42"/>
      <c r="G947" s="94"/>
      <c r="H947" s="151"/>
    </row>
    <row r="948" spans="1:8" ht="20.100000000000001" customHeight="1">
      <c r="A948" s="28"/>
      <c r="B948" s="151"/>
      <c r="F948" s="42"/>
      <c r="G948" s="94"/>
      <c r="H948" s="151"/>
    </row>
    <row r="949" spans="1:8" ht="20.100000000000001" customHeight="1">
      <c r="A949" s="28"/>
      <c r="B949" s="151"/>
      <c r="F949" s="42"/>
      <c r="G949" s="94"/>
      <c r="H949" s="151"/>
    </row>
    <row r="950" spans="1:8" ht="20.100000000000001" customHeight="1">
      <c r="A950" s="28"/>
      <c r="B950" s="151"/>
      <c r="F950" s="42"/>
      <c r="G950" s="94"/>
      <c r="H950" s="151"/>
    </row>
    <row r="951" spans="1:8" ht="20.100000000000001" customHeight="1">
      <c r="A951" s="282">
        <f>+A924+1</f>
        <v>56</v>
      </c>
      <c r="B951" s="1089" t="s">
        <v>4074</v>
      </c>
      <c r="C951" s="1089"/>
      <c r="D951" s="1089"/>
      <c r="E951" s="1089"/>
      <c r="F951" s="1089"/>
      <c r="G951" s="1089"/>
      <c r="H951" s="1089"/>
    </row>
    <row r="952" spans="1:8" ht="18.75" customHeight="1">
      <c r="A952" s="688" t="s">
        <v>3789</v>
      </c>
      <c r="B952" s="1089" t="s">
        <v>4075</v>
      </c>
      <c r="C952" s="1089"/>
      <c r="D952" s="1089"/>
      <c r="E952" s="1089"/>
      <c r="F952" s="1089"/>
      <c r="G952" s="1089"/>
      <c r="H952" s="1089"/>
    </row>
    <row r="953" spans="1:8">
      <c r="B953" s="1092" t="s">
        <v>2529</v>
      </c>
      <c r="C953" s="1092"/>
      <c r="D953" s="1092"/>
      <c r="E953" s="1092"/>
      <c r="F953" s="1092"/>
      <c r="G953" s="1092"/>
      <c r="H953" s="1092"/>
    </row>
    <row r="954" spans="1:8" ht="31.5">
      <c r="B954" s="70" t="s">
        <v>3340</v>
      </c>
      <c r="C954" s="70" t="s">
        <v>3341</v>
      </c>
      <c r="D954" s="70" t="s">
        <v>3342</v>
      </c>
      <c r="E954" s="70" t="s">
        <v>3343</v>
      </c>
      <c r="F954" s="70" t="s">
        <v>3344</v>
      </c>
      <c r="G954" s="70" t="s">
        <v>3345</v>
      </c>
      <c r="H954" s="70" t="s">
        <v>1704</v>
      </c>
    </row>
    <row r="955" spans="1:8" ht="17.25">
      <c r="B955" s="1069" t="s">
        <v>1705</v>
      </c>
      <c r="C955" s="697" t="s">
        <v>610</v>
      </c>
      <c r="D955" s="43">
        <v>0.5</v>
      </c>
      <c r="E955" s="57" t="s">
        <v>1707</v>
      </c>
      <c r="F955" s="111">
        <f>'update Rate'!F5</f>
        <v>525</v>
      </c>
      <c r="G955" s="114">
        <f>FLOOR(D955*F955,0.01)</f>
        <v>262.5</v>
      </c>
      <c r="H955" s="698"/>
    </row>
    <row r="956" spans="1:8" ht="17.25">
      <c r="B956" s="1070"/>
      <c r="C956" s="55" t="s">
        <v>1647</v>
      </c>
      <c r="D956" s="44">
        <v>3.5</v>
      </c>
      <c r="E956" s="55" t="s">
        <v>1707</v>
      </c>
      <c r="F956" s="113">
        <f>'update Rate'!F4</f>
        <v>375</v>
      </c>
      <c r="G956" s="113">
        <f>FLOOR(D956*F956,0.01)</f>
        <v>1312.5</v>
      </c>
      <c r="H956" s="699">
        <f>SUM(G955+G956)</f>
        <v>1575</v>
      </c>
    </row>
    <row r="957" spans="1:8" ht="20.100000000000001" customHeight="1">
      <c r="B957" s="696" t="s">
        <v>2330</v>
      </c>
      <c r="C957" s="57" t="s">
        <v>4052</v>
      </c>
      <c r="D957" s="43">
        <v>1</v>
      </c>
      <c r="E957" s="57" t="s">
        <v>2530</v>
      </c>
      <c r="F957" s="854">
        <f>'update Rate'!F489</f>
        <v>9247.7000000000007</v>
      </c>
      <c r="G957" s="114">
        <f>FLOOR(D957*F957,0.01)</f>
        <v>9247.7000000000007</v>
      </c>
      <c r="H957" s="130">
        <f>+G957</f>
        <v>9247.7000000000007</v>
      </c>
    </row>
    <row r="958" spans="1:8" ht="33.75" customHeight="1">
      <c r="B958" s="711" t="s">
        <v>2119</v>
      </c>
      <c r="C958" s="66" t="s">
        <v>3778</v>
      </c>
      <c r="D958" s="46">
        <v>0.25</v>
      </c>
      <c r="E958" s="66" t="s">
        <v>2798</v>
      </c>
      <c r="F958" s="596">
        <f>'update Rate'!F507</f>
        <v>120</v>
      </c>
      <c r="G958" s="103">
        <f>FLOOR(D958*F958,0.01)</f>
        <v>30</v>
      </c>
      <c r="H958" s="130">
        <f>+G958</f>
        <v>30</v>
      </c>
    </row>
    <row r="959" spans="1:8" ht="20.100000000000001" customHeight="1">
      <c r="D959" s="91"/>
      <c r="F959" s="42" t="s">
        <v>1708</v>
      </c>
      <c r="G959" s="94"/>
      <c r="H959" s="65">
        <f>SUM(H955:H958)</f>
        <v>10852.7</v>
      </c>
    </row>
    <row r="960" spans="1:8" ht="15.75">
      <c r="B960" s="1" t="s">
        <v>3658</v>
      </c>
      <c r="F960" s="42" t="s">
        <v>1689</v>
      </c>
      <c r="G960" s="94"/>
      <c r="H960" s="103">
        <f>FLOOR(H959*0.15,0.01)</f>
        <v>1627.9</v>
      </c>
    </row>
    <row r="961" spans="1:8" ht="20.100000000000001" customHeight="1">
      <c r="A961" s="28" t="s">
        <v>3384</v>
      </c>
      <c r="B961" s="103">
        <f>+H961</f>
        <v>12480.6</v>
      </c>
      <c r="C961" s="1" t="s">
        <v>3385</v>
      </c>
      <c r="F961" s="42" t="s">
        <v>1711</v>
      </c>
      <c r="G961" s="94"/>
      <c r="H961" s="103">
        <f>SUM(H959:H960)</f>
        <v>12480.6</v>
      </c>
    </row>
    <row r="962" spans="1:8" ht="20.100000000000001" customHeight="1">
      <c r="A962" s="282">
        <f>+A951+1</f>
        <v>57</v>
      </c>
      <c r="B962" s="1089" t="s">
        <v>3791</v>
      </c>
      <c r="C962" s="1089"/>
      <c r="D962" s="1089"/>
      <c r="E962" s="1089"/>
      <c r="F962" s="1089"/>
      <c r="G962" s="1089"/>
      <c r="H962" s="1089"/>
    </row>
    <row r="963" spans="1:8" ht="18.75" customHeight="1">
      <c r="A963" s="688" t="s">
        <v>3790</v>
      </c>
      <c r="B963" s="1089" t="s">
        <v>3792</v>
      </c>
      <c r="C963" s="1089"/>
      <c r="D963" s="1089"/>
      <c r="E963" s="1089"/>
      <c r="F963" s="1089"/>
      <c r="G963" s="1089"/>
      <c r="H963" s="1089"/>
    </row>
    <row r="964" spans="1:8">
      <c r="B964" s="1135" t="s">
        <v>3793</v>
      </c>
      <c r="C964" s="1136"/>
      <c r="D964" s="1136"/>
      <c r="E964" s="1136"/>
      <c r="F964" s="1136"/>
      <c r="G964" s="1136"/>
      <c r="H964" s="1136"/>
    </row>
    <row r="965" spans="1:8">
      <c r="B965" s="1092" t="s">
        <v>2529</v>
      </c>
      <c r="C965" s="1092"/>
      <c r="D965" s="1092"/>
      <c r="E965" s="1092"/>
      <c r="F965" s="1092"/>
      <c r="G965" s="1092"/>
      <c r="H965" s="1092"/>
    </row>
    <row r="966" spans="1:8" ht="31.5">
      <c r="B966" s="70" t="s">
        <v>3340</v>
      </c>
      <c r="C966" s="70" t="s">
        <v>3341</v>
      </c>
      <c r="D966" s="70" t="s">
        <v>3342</v>
      </c>
      <c r="E966" s="70" t="s">
        <v>3343</v>
      </c>
      <c r="F966" s="70" t="s">
        <v>3344</v>
      </c>
      <c r="G966" s="70" t="s">
        <v>3345</v>
      </c>
      <c r="H966" s="70" t="s">
        <v>1704</v>
      </c>
    </row>
    <row r="967" spans="1:8" ht="17.25">
      <c r="B967" s="1069" t="s">
        <v>1705</v>
      </c>
      <c r="C967" s="697" t="s">
        <v>610</v>
      </c>
      <c r="D967" s="43">
        <v>2.72</v>
      </c>
      <c r="E967" s="57" t="s">
        <v>1707</v>
      </c>
      <c r="F967" s="111">
        <f>'update Rate'!F5</f>
        <v>525</v>
      </c>
      <c r="G967" s="114">
        <f t="shared" ref="G967:G976" si="32">FLOOR(D967*F967,0.01)</f>
        <v>1428</v>
      </c>
      <c r="H967" s="698"/>
    </row>
    <row r="968" spans="1:8" ht="17.25">
      <c r="B968" s="1070"/>
      <c r="C968" s="55" t="s">
        <v>1647</v>
      </c>
      <c r="D968" s="44">
        <v>7.5</v>
      </c>
      <c r="E968" s="55" t="s">
        <v>1707</v>
      </c>
      <c r="F968" s="113">
        <f>'update Rate'!F4</f>
        <v>375</v>
      </c>
      <c r="G968" s="113">
        <f t="shared" si="32"/>
        <v>2812.5</v>
      </c>
      <c r="H968" s="699">
        <f>SUM(G967+G968)</f>
        <v>4240.5</v>
      </c>
    </row>
    <row r="969" spans="1:8" ht="20.100000000000001" customHeight="1">
      <c r="B969" s="1069" t="s">
        <v>2330</v>
      </c>
      <c r="C969" s="57" t="s">
        <v>1650</v>
      </c>
      <c r="D969" s="258">
        <v>0.36</v>
      </c>
      <c r="E969" s="57" t="s">
        <v>804</v>
      </c>
      <c r="F969" s="114">
        <f>'update Rate'!F15</f>
        <v>14200</v>
      </c>
      <c r="G969" s="114">
        <f t="shared" si="32"/>
        <v>5112</v>
      </c>
      <c r="H969" s="698"/>
    </row>
    <row r="970" spans="1:8" ht="20.100000000000001" customHeight="1">
      <c r="B970" s="1094"/>
      <c r="C970" s="12" t="s">
        <v>650</v>
      </c>
      <c r="D970" s="259">
        <v>0.54</v>
      </c>
      <c r="E970" s="55" t="s">
        <v>2530</v>
      </c>
      <c r="F970" s="113">
        <f>'update Rate'!F33</f>
        <v>1836.12</v>
      </c>
      <c r="G970" s="113">
        <f t="shared" si="32"/>
        <v>991.5</v>
      </c>
      <c r="H970" s="9"/>
    </row>
    <row r="971" spans="1:8" ht="20.100000000000001" customHeight="1">
      <c r="B971" s="1094"/>
      <c r="C971" s="710" t="s">
        <v>651</v>
      </c>
      <c r="D971" s="259">
        <v>0.27</v>
      </c>
      <c r="E971" s="55" t="s">
        <v>2530</v>
      </c>
      <c r="F971" s="113">
        <f>'update Rate'!F34</f>
        <v>1906.74</v>
      </c>
      <c r="G971" s="113">
        <f t="shared" si="32"/>
        <v>514.81000000000006</v>
      </c>
      <c r="H971" s="9"/>
    </row>
    <row r="972" spans="1:8" ht="20.100000000000001" customHeight="1">
      <c r="B972" s="1094"/>
      <c r="C972" s="55" t="s">
        <v>2177</v>
      </c>
      <c r="D972" s="54">
        <v>0.37</v>
      </c>
      <c r="E972" s="55" t="s">
        <v>2530</v>
      </c>
      <c r="F972" s="113">
        <f>'update Rate'!F9</f>
        <v>1659.57</v>
      </c>
      <c r="G972" s="113">
        <f t="shared" si="32"/>
        <v>614.04</v>
      </c>
      <c r="H972" s="699"/>
    </row>
    <row r="973" spans="1:8" ht="20.100000000000001" customHeight="1">
      <c r="B973" s="1094"/>
      <c r="C973" s="55" t="s">
        <v>3749</v>
      </c>
      <c r="D973" s="44">
        <v>200</v>
      </c>
      <c r="E973" s="55" t="s">
        <v>3750</v>
      </c>
      <c r="F973" s="113">
        <f>'update Rate'!F508</f>
        <v>0.25</v>
      </c>
      <c r="G973" s="113">
        <f t="shared" si="32"/>
        <v>50</v>
      </c>
      <c r="H973" s="699"/>
    </row>
    <row r="974" spans="1:8" ht="20.100000000000001" customHeight="1">
      <c r="B974" s="1094"/>
      <c r="C974" s="55" t="s">
        <v>4310</v>
      </c>
      <c r="D974" s="44">
        <v>2.5</v>
      </c>
      <c r="E974" s="55" t="s">
        <v>3794</v>
      </c>
      <c r="F974" s="585">
        <f>'update Rate'!F490</f>
        <v>368</v>
      </c>
      <c r="G974" s="113">
        <f t="shared" si="32"/>
        <v>920</v>
      </c>
      <c r="H974" s="700">
        <f>SUM(G969:G974)</f>
        <v>8202.35</v>
      </c>
    </row>
    <row r="975" spans="1:8" ht="20.100000000000001" customHeight="1">
      <c r="B975" s="1067" t="s">
        <v>2119</v>
      </c>
      <c r="C975" s="57" t="s">
        <v>3777</v>
      </c>
      <c r="D975" s="43">
        <v>0.6</v>
      </c>
      <c r="E975" s="57" t="s">
        <v>2798</v>
      </c>
      <c r="F975" s="854">
        <f>'update Rate'!F511</f>
        <v>1875</v>
      </c>
      <c r="G975" s="114">
        <f t="shared" si="32"/>
        <v>1125</v>
      </c>
      <c r="H975" s="699"/>
    </row>
    <row r="976" spans="1:8" ht="20.100000000000001" customHeight="1">
      <c r="B976" s="1099"/>
      <c r="C976" s="58" t="s">
        <v>3778</v>
      </c>
      <c r="D976" s="45">
        <v>0.25</v>
      </c>
      <c r="E976" s="58" t="s">
        <v>2798</v>
      </c>
      <c r="F976" s="594">
        <f>'update Rate'!F507</f>
        <v>120</v>
      </c>
      <c r="G976" s="65">
        <f t="shared" si="32"/>
        <v>30</v>
      </c>
      <c r="H976" s="700">
        <f>SUM(G975:G976)</f>
        <v>1155</v>
      </c>
    </row>
    <row r="977" spans="1:8" ht="20.100000000000001" customHeight="1">
      <c r="D977" s="91"/>
      <c r="F977" s="42" t="s">
        <v>1708</v>
      </c>
      <c r="G977" s="94"/>
      <c r="H977" s="65">
        <f>SUM(H967:H976)</f>
        <v>13597.85</v>
      </c>
    </row>
    <row r="978" spans="1:8" ht="15.75">
      <c r="B978" s="1" t="s">
        <v>3658</v>
      </c>
      <c r="F978" s="42" t="s">
        <v>1689</v>
      </c>
      <c r="G978" s="94"/>
      <c r="H978" s="103">
        <f>FLOOR(H977*0.15,0.01)</f>
        <v>2039.67</v>
      </c>
    </row>
    <row r="979" spans="1:8" ht="20.100000000000001" customHeight="1">
      <c r="A979" s="28" t="s">
        <v>3384</v>
      </c>
      <c r="B979" s="103">
        <f>+H979</f>
        <v>15637.52</v>
      </c>
      <c r="C979" s="1" t="s">
        <v>3385</v>
      </c>
      <c r="F979" s="42" t="s">
        <v>1711</v>
      </c>
      <c r="G979" s="94"/>
      <c r="H979" s="103">
        <f>SUM(H977:H978)</f>
        <v>15637.52</v>
      </c>
    </row>
    <row r="980" spans="1:8" ht="9.75" customHeight="1">
      <c r="A980" s="28"/>
      <c r="B980" s="151"/>
      <c r="F980" s="42"/>
      <c r="G980" s="94"/>
      <c r="H980" s="151"/>
    </row>
    <row r="981" spans="1:8" ht="19.5">
      <c r="A981" s="712"/>
      <c r="B981" s="1090" t="s">
        <v>3501</v>
      </c>
      <c r="C981" s="1090"/>
      <c r="D981" s="1090"/>
      <c r="E981" s="1090"/>
      <c r="F981" s="1090"/>
      <c r="G981" s="1090"/>
      <c r="H981" s="1090"/>
    </row>
    <row r="982" spans="1:8" ht="19.5">
      <c r="A982" s="713">
        <f>+A962+1</f>
        <v>58</v>
      </c>
      <c r="B982" s="1090" t="s">
        <v>2772</v>
      </c>
      <c r="C982" s="1090"/>
      <c r="D982" s="1090"/>
      <c r="E982" s="1090"/>
      <c r="F982" s="1090"/>
      <c r="G982" s="1090"/>
      <c r="H982" s="1090"/>
    </row>
    <row r="983" spans="1:8" ht="20.100000000000001" customHeight="1">
      <c r="A983" s="688" t="s">
        <v>4383</v>
      </c>
      <c r="B983" s="1090" t="s">
        <v>609</v>
      </c>
      <c r="C983" s="1090"/>
      <c r="D983" s="1090"/>
      <c r="E983" s="1090"/>
      <c r="F983" s="1090"/>
      <c r="G983" s="1090"/>
      <c r="H983" s="1090"/>
    </row>
    <row r="984" spans="1:8" ht="20.100000000000001" customHeight="1">
      <c r="A984" s="712"/>
      <c r="B984" s="1147" t="s">
        <v>3505</v>
      </c>
      <c r="C984" s="1147"/>
      <c r="D984" s="1147"/>
      <c r="E984" s="1147"/>
      <c r="F984" s="1147"/>
      <c r="G984" s="1147"/>
      <c r="H984" s="1147"/>
    </row>
    <row r="985" spans="1:8" ht="33" customHeight="1">
      <c r="A985" s="712"/>
      <c r="B985" s="714" t="s">
        <v>3340</v>
      </c>
      <c r="C985" s="714" t="s">
        <v>3341</v>
      </c>
      <c r="D985" s="714" t="s">
        <v>3342</v>
      </c>
      <c r="E985" s="714" t="s">
        <v>3343</v>
      </c>
      <c r="F985" s="714" t="s">
        <v>3344</v>
      </c>
      <c r="G985" s="714" t="s">
        <v>3345</v>
      </c>
      <c r="H985" s="714" t="s">
        <v>1704</v>
      </c>
    </row>
    <row r="986" spans="1:8" ht="20.100000000000001" customHeight="1">
      <c r="A986" s="712"/>
      <c r="B986" s="1138" t="s">
        <v>1705</v>
      </c>
      <c r="C986" s="715" t="s">
        <v>610</v>
      </c>
      <c r="D986" s="732">
        <v>12</v>
      </c>
      <c r="E986" s="709" t="s">
        <v>1707</v>
      </c>
      <c r="F986" s="716">
        <f>'update Rate'!F5</f>
        <v>525</v>
      </c>
      <c r="G986" s="717">
        <f>FLOOR(D986*F986,0.01)</f>
        <v>6300</v>
      </c>
      <c r="H986" s="718"/>
    </row>
    <row r="987" spans="1:8" ht="20.100000000000001" customHeight="1">
      <c r="A987" s="712"/>
      <c r="B987" s="1140"/>
      <c r="C987" s="719" t="s">
        <v>1647</v>
      </c>
      <c r="D987" s="733">
        <v>12</v>
      </c>
      <c r="E987" s="719" t="s">
        <v>1707</v>
      </c>
      <c r="F987" s="720">
        <f>'update Rate'!F4</f>
        <v>375</v>
      </c>
      <c r="G987" s="720">
        <f>FLOOR(D987*F987,0.01)</f>
        <v>4500</v>
      </c>
      <c r="H987" s="721">
        <f>SUM(G986+G987)</f>
        <v>10800</v>
      </c>
    </row>
    <row r="988" spans="1:8" ht="20.100000000000001" customHeight="1">
      <c r="A988" s="712"/>
      <c r="B988" s="1138" t="s">
        <v>2330</v>
      </c>
      <c r="C988" s="709" t="s">
        <v>1117</v>
      </c>
      <c r="D988" s="722">
        <v>1.05</v>
      </c>
      <c r="E988" s="709" t="s">
        <v>804</v>
      </c>
      <c r="F988" s="717">
        <f>'update Rate'!F45</f>
        <v>80800</v>
      </c>
      <c r="G988" s="717">
        <f>FLOOR(D988*F988,0.01)</f>
        <v>84840</v>
      </c>
      <c r="H988" s="718"/>
    </row>
    <row r="989" spans="1:8" ht="20.100000000000001" customHeight="1">
      <c r="A989" s="712"/>
      <c r="B989" s="1139"/>
      <c r="C989" s="723" t="s">
        <v>1596</v>
      </c>
      <c r="D989" s="724">
        <v>10</v>
      </c>
      <c r="E989" s="723" t="s">
        <v>3096</v>
      </c>
      <c r="F989" s="725">
        <f>'update Rate'!F48</f>
        <v>93.86</v>
      </c>
      <c r="G989" s="725">
        <f>FLOOR(D989*F989,0.01)</f>
        <v>938.6</v>
      </c>
      <c r="H989" s="726">
        <f>SUM(G988+G989)</f>
        <v>85778.6</v>
      </c>
    </row>
    <row r="990" spans="1:8" ht="20.100000000000001" customHeight="1">
      <c r="A990" s="712"/>
      <c r="B990" s="712"/>
      <c r="C990" s="712"/>
      <c r="D990" s="712"/>
      <c r="E990" s="712"/>
      <c r="F990" s="727" t="s">
        <v>1708</v>
      </c>
      <c r="G990" s="727"/>
      <c r="H990" s="725">
        <f>SUM(H986:H989)</f>
        <v>96578.6</v>
      </c>
    </row>
    <row r="991" spans="1:8" ht="20.100000000000001" customHeight="1">
      <c r="A991" s="712"/>
      <c r="B991" s="712" t="s">
        <v>1053</v>
      </c>
      <c r="C991" s="712"/>
      <c r="D991" s="712"/>
      <c r="E991" s="712"/>
      <c r="F991" s="727" t="s">
        <v>1689</v>
      </c>
      <c r="G991" s="727"/>
      <c r="H991" s="728">
        <f>FLOOR(H990*0.15,0.01)</f>
        <v>14486.79</v>
      </c>
    </row>
    <row r="992" spans="1:8" ht="20.100000000000001" customHeight="1">
      <c r="A992" s="729" t="s">
        <v>3384</v>
      </c>
      <c r="B992" s="728">
        <f>+H992</f>
        <v>111065.39000000001</v>
      </c>
      <c r="C992" s="712" t="s">
        <v>3385</v>
      </c>
      <c r="D992" s="712"/>
      <c r="E992" s="712"/>
      <c r="F992" s="727" t="s">
        <v>1711</v>
      </c>
      <c r="G992" s="727"/>
      <c r="H992" s="728">
        <f>SUM(H990:H991)</f>
        <v>111065.39000000001</v>
      </c>
    </row>
    <row r="993" spans="1:8" ht="13.5" customHeight="1">
      <c r="A993" s="712"/>
      <c r="B993" s="730"/>
      <c r="C993" s="712"/>
      <c r="D993" s="712"/>
      <c r="E993" s="712"/>
      <c r="F993" s="727"/>
      <c r="G993" s="727"/>
      <c r="H993" s="731"/>
    </row>
    <row r="994" spans="1:8" ht="19.5">
      <c r="A994" s="712"/>
      <c r="B994" s="1090" t="s">
        <v>2269</v>
      </c>
      <c r="C994" s="1090"/>
      <c r="D994" s="1090"/>
      <c r="E994" s="1090"/>
      <c r="F994" s="1090"/>
      <c r="G994" s="1090"/>
      <c r="H994" s="1090"/>
    </row>
    <row r="995" spans="1:8" ht="19.5">
      <c r="A995" s="713">
        <f>+A982+1</f>
        <v>59</v>
      </c>
      <c r="B995" s="1090" t="s">
        <v>2270</v>
      </c>
      <c r="C995" s="1090"/>
      <c r="D995" s="1090"/>
      <c r="E995" s="1090"/>
      <c r="F995" s="1090"/>
      <c r="G995" s="1090"/>
      <c r="H995" s="1090"/>
    </row>
    <row r="996" spans="1:8" ht="15.75" customHeight="1">
      <c r="B996" s="1090" t="s">
        <v>2271</v>
      </c>
      <c r="C996" s="1090"/>
      <c r="D996" s="1090"/>
      <c r="E996" s="1090"/>
      <c r="F996" s="1090"/>
      <c r="G996" s="1090"/>
      <c r="H996" s="1090"/>
    </row>
    <row r="997" spans="1:8">
      <c r="A997" s="712"/>
      <c r="B997" s="1141" t="s">
        <v>2773</v>
      </c>
      <c r="C997" s="1141"/>
      <c r="D997" s="1141"/>
      <c r="E997" s="1141"/>
      <c r="F997" s="1141"/>
      <c r="G997" s="1141"/>
      <c r="H997" s="1141"/>
    </row>
    <row r="998" spans="1:8" ht="31.5">
      <c r="A998" s="712"/>
      <c r="B998" s="714" t="s">
        <v>3340</v>
      </c>
      <c r="C998" s="714" t="s">
        <v>3341</v>
      </c>
      <c r="D998" s="714" t="s">
        <v>3342</v>
      </c>
      <c r="E998" s="714" t="s">
        <v>3343</v>
      </c>
      <c r="F998" s="714" t="s">
        <v>3344</v>
      </c>
      <c r="G998" s="714" t="s">
        <v>3345</v>
      </c>
      <c r="H998" s="714" t="s">
        <v>1704</v>
      </c>
    </row>
    <row r="999" spans="1:8" ht="17.25">
      <c r="A999" s="712"/>
      <c r="B999" s="1138" t="s">
        <v>1705</v>
      </c>
      <c r="C999" s="715" t="s">
        <v>610</v>
      </c>
      <c r="D999" s="732">
        <v>1.72</v>
      </c>
      <c r="E999" s="709" t="s">
        <v>1707</v>
      </c>
      <c r="F999" s="716">
        <f>'update Rate'!F5</f>
        <v>525</v>
      </c>
      <c r="G999" s="717">
        <f>FLOOR(D999*F999,0.01)</f>
        <v>903</v>
      </c>
      <c r="H999" s="718"/>
    </row>
    <row r="1000" spans="1:8" ht="17.25">
      <c r="A1000" s="712"/>
      <c r="B1000" s="1140"/>
      <c r="C1000" s="719" t="s">
        <v>1647</v>
      </c>
      <c r="D1000" s="733">
        <v>2.57</v>
      </c>
      <c r="E1000" s="723" t="s">
        <v>1707</v>
      </c>
      <c r="F1000" s="720">
        <f>'update Rate'!F4</f>
        <v>375</v>
      </c>
      <c r="G1000" s="720">
        <f>FLOOR(D1000*F1000,0.01)</f>
        <v>963.75</v>
      </c>
      <c r="H1000" s="721">
        <f>SUM(G999+G1000)</f>
        <v>1866.75</v>
      </c>
    </row>
    <row r="1001" spans="1:8" ht="20.100000000000001" customHeight="1">
      <c r="A1001" s="712"/>
      <c r="B1001" s="1138" t="s">
        <v>2330</v>
      </c>
      <c r="C1001" s="709" t="s">
        <v>4313</v>
      </c>
      <c r="D1001" s="722">
        <v>7.0000000000000007E-2</v>
      </c>
      <c r="E1001" s="709" t="s">
        <v>2530</v>
      </c>
      <c r="F1001" s="717">
        <f>Jwood</f>
        <v>33721.050000000003</v>
      </c>
      <c r="G1001" s="717">
        <f>FLOOR(D1001*F1001,0.01)</f>
        <v>2360.4700000000003</v>
      </c>
      <c r="H1001" s="718"/>
    </row>
    <row r="1002" spans="1:8" ht="20.100000000000001" customHeight="1">
      <c r="A1002" s="712"/>
      <c r="B1002" s="1139"/>
      <c r="C1002" s="723" t="s">
        <v>2272</v>
      </c>
      <c r="D1002" s="734">
        <v>2.5</v>
      </c>
      <c r="E1002" s="723" t="s">
        <v>3096</v>
      </c>
      <c r="F1002" s="725">
        <f>'update Rate'!F58</f>
        <v>99</v>
      </c>
      <c r="G1002" s="725">
        <f>FLOOR(D1002*F1002,0.01)</f>
        <v>247.5</v>
      </c>
      <c r="H1002" s="726">
        <f>SUM(G1001+G1002)</f>
        <v>2607.9700000000003</v>
      </c>
    </row>
    <row r="1003" spans="1:8" ht="20.100000000000001" customHeight="1">
      <c r="A1003" s="712"/>
      <c r="B1003" s="712"/>
      <c r="C1003" s="712"/>
      <c r="D1003" s="712"/>
      <c r="E1003" s="712"/>
      <c r="F1003" s="727" t="s">
        <v>1708</v>
      </c>
      <c r="G1003" s="727"/>
      <c r="H1003" s="725">
        <f>SUM(H999:H1002)</f>
        <v>4474.72</v>
      </c>
    </row>
    <row r="1004" spans="1:8" ht="20.100000000000001" customHeight="1">
      <c r="A1004" s="712"/>
      <c r="B1004" s="735" t="s">
        <v>1710</v>
      </c>
      <c r="C1004" s="712"/>
      <c r="D1004" s="712"/>
      <c r="E1004" s="712"/>
      <c r="F1004" s="727" t="s">
        <v>1689</v>
      </c>
      <c r="G1004" s="727"/>
      <c r="H1004" s="728">
        <f>FLOOR(H1003*0.15,0.01)</f>
        <v>671.2</v>
      </c>
    </row>
    <row r="1005" spans="1:8" ht="15.75">
      <c r="A1005" s="736"/>
      <c r="B1005" s="737">
        <f>+H1005</f>
        <v>5145.92</v>
      </c>
      <c r="C1005" s="738" t="s">
        <v>3384</v>
      </c>
      <c r="D1005" s="728">
        <f>INT(B1005/B1006*100)/100</f>
        <v>514.59</v>
      </c>
      <c r="E1005" s="712" t="s">
        <v>3385</v>
      </c>
      <c r="F1005" s="727" t="s">
        <v>1711</v>
      </c>
      <c r="G1005" s="727"/>
      <c r="H1005" s="728">
        <f>SUM(H1003:H1004)</f>
        <v>5145.92</v>
      </c>
    </row>
    <row r="1006" spans="1:8" ht="17.25">
      <c r="A1006" s="736"/>
      <c r="B1006" s="739">
        <v>10</v>
      </c>
      <c r="C1006" s="740"/>
      <c r="D1006" s="740"/>
      <c r="E1006" s="712"/>
      <c r="F1006" s="727"/>
      <c r="G1006" s="727"/>
      <c r="H1006" s="731"/>
    </row>
    <row r="1007" spans="1:8" ht="17.25">
      <c r="A1007" s="741" t="s">
        <v>3795</v>
      </c>
      <c r="B1007" s="712"/>
      <c r="C1007" s="712"/>
      <c r="D1007" s="730"/>
      <c r="E1007" s="712"/>
      <c r="F1007" s="727"/>
      <c r="G1007" s="727"/>
      <c r="H1007" s="731"/>
    </row>
    <row r="1008" spans="1:8">
      <c r="A1008" s="712"/>
      <c r="B1008" s="735"/>
      <c r="C1008" s="712"/>
      <c r="D1008" s="712"/>
      <c r="E1008" s="712"/>
      <c r="F1008" s="712"/>
      <c r="G1008" s="712"/>
      <c r="H1008" s="712"/>
    </row>
    <row r="1009" spans="1:8" ht="19.5">
      <c r="A1009" s="712"/>
      <c r="B1009" s="1090" t="s">
        <v>3097</v>
      </c>
      <c r="C1009" s="1090"/>
      <c r="D1009" s="1090"/>
      <c r="E1009" s="1090"/>
      <c r="F1009" s="1090"/>
      <c r="G1009" s="1090"/>
      <c r="H1009" s="1090"/>
    </row>
    <row r="1010" spans="1:8" ht="19.5">
      <c r="A1010" s="713">
        <f>+A995+1</f>
        <v>60</v>
      </c>
      <c r="B1010" s="1090" t="s">
        <v>2685</v>
      </c>
      <c r="C1010" s="1090"/>
      <c r="D1010" s="1090"/>
      <c r="E1010" s="1090"/>
      <c r="F1010" s="1090"/>
      <c r="G1010" s="1090"/>
      <c r="H1010" s="1090"/>
    </row>
    <row r="1011" spans="1:8" ht="19.5">
      <c r="A1011" s="688" t="s">
        <v>4384</v>
      </c>
      <c r="B1011" s="1090" t="s">
        <v>2699</v>
      </c>
      <c r="C1011" s="1090"/>
      <c r="D1011" s="1090"/>
      <c r="E1011" s="1090"/>
      <c r="F1011" s="1090"/>
      <c r="G1011" s="1090"/>
      <c r="H1011" s="1090"/>
    </row>
    <row r="1012" spans="1:8" ht="20.100000000000001" customHeight="1">
      <c r="A1012" s="712"/>
      <c r="B1012" s="1141" t="s">
        <v>2773</v>
      </c>
      <c r="C1012" s="1141"/>
      <c r="D1012" s="1141"/>
      <c r="E1012" s="1141"/>
      <c r="F1012" s="1141"/>
      <c r="G1012" s="1141"/>
      <c r="H1012" s="1141"/>
    </row>
    <row r="1013" spans="1:8" ht="33" customHeight="1">
      <c r="A1013" s="712"/>
      <c r="B1013" s="714" t="s">
        <v>3340</v>
      </c>
      <c r="C1013" s="714" t="s">
        <v>3341</v>
      </c>
      <c r="D1013" s="714" t="s">
        <v>3342</v>
      </c>
      <c r="E1013" s="714" t="s">
        <v>3343</v>
      </c>
      <c r="F1013" s="714" t="s">
        <v>3344</v>
      </c>
      <c r="G1013" s="714" t="s">
        <v>3345</v>
      </c>
      <c r="H1013" s="714" t="s">
        <v>1704</v>
      </c>
    </row>
    <row r="1014" spans="1:8" ht="20.100000000000001" customHeight="1">
      <c r="A1014" s="712"/>
      <c r="B1014" s="1148" t="s">
        <v>1705</v>
      </c>
      <c r="C1014" s="715" t="s">
        <v>610</v>
      </c>
      <c r="D1014" s="742">
        <v>3.7480000000000002</v>
      </c>
      <c r="E1014" s="709" t="s">
        <v>1707</v>
      </c>
      <c r="F1014" s="716">
        <f>'update Rate'!F5</f>
        <v>525</v>
      </c>
      <c r="G1014" s="717">
        <f>FLOOR(D1014*F1014,0.01)</f>
        <v>1967.7</v>
      </c>
      <c r="H1014" s="718"/>
    </row>
    <row r="1015" spans="1:8" ht="20.100000000000001" customHeight="1">
      <c r="A1015" s="712"/>
      <c r="B1015" s="1140"/>
      <c r="C1015" s="719" t="s">
        <v>1647</v>
      </c>
      <c r="D1015" s="743">
        <v>5.6219999999999999</v>
      </c>
      <c r="E1015" s="723" t="s">
        <v>1707</v>
      </c>
      <c r="F1015" s="720">
        <f>'update Rate'!F4</f>
        <v>375</v>
      </c>
      <c r="G1015" s="720">
        <f>FLOOR(D1015*F1015,0.01)</f>
        <v>2108.25</v>
      </c>
      <c r="H1015" s="721">
        <f>SUM(G1014+G1015)</f>
        <v>4075.95</v>
      </c>
    </row>
    <row r="1016" spans="1:8" ht="20.100000000000001" customHeight="1">
      <c r="A1016" s="712"/>
      <c r="B1016" s="1138" t="s">
        <v>2330</v>
      </c>
      <c r="C1016" s="709" t="s">
        <v>4313</v>
      </c>
      <c r="D1016" s="722">
        <v>7.0000000000000007E-2</v>
      </c>
      <c r="E1016" s="709" t="s">
        <v>2530</v>
      </c>
      <c r="F1016" s="717">
        <f>Jwood</f>
        <v>33721.050000000003</v>
      </c>
      <c r="G1016" s="717">
        <f>FLOOR(D1016*F1016,0.01)</f>
        <v>2360.4700000000003</v>
      </c>
      <c r="H1016" s="718"/>
    </row>
    <row r="1017" spans="1:8" ht="20.100000000000001" customHeight="1">
      <c r="A1017" s="712"/>
      <c r="B1017" s="1139"/>
      <c r="C1017" s="723" t="s">
        <v>2272</v>
      </c>
      <c r="D1017" s="734">
        <v>2.5</v>
      </c>
      <c r="E1017" s="723" t="s">
        <v>3096</v>
      </c>
      <c r="F1017" s="725">
        <f>'update Rate'!F58</f>
        <v>99</v>
      </c>
      <c r="G1017" s="725">
        <f>FLOOR(D1017*F1017,0.01)</f>
        <v>247.5</v>
      </c>
      <c r="H1017" s="726">
        <f>SUM(G1016+G1017)</f>
        <v>2607.9700000000003</v>
      </c>
    </row>
    <row r="1018" spans="1:8" ht="20.100000000000001" customHeight="1">
      <c r="A1018" s="712"/>
      <c r="B1018" s="712"/>
      <c r="C1018" s="712"/>
      <c r="D1018" s="712"/>
      <c r="E1018" s="712"/>
      <c r="F1018" s="727" t="s">
        <v>1708</v>
      </c>
      <c r="G1018" s="727"/>
      <c r="H1018" s="725">
        <f>SUM(H1014:H1017)</f>
        <v>6683.92</v>
      </c>
    </row>
    <row r="1019" spans="1:8" ht="15.75">
      <c r="A1019" s="712"/>
      <c r="B1019" s="735" t="s">
        <v>1710</v>
      </c>
      <c r="C1019" s="712"/>
      <c r="D1019" s="712"/>
      <c r="E1019" s="712"/>
      <c r="F1019" s="727" t="s">
        <v>1689</v>
      </c>
      <c r="G1019" s="727"/>
      <c r="H1019" s="728">
        <f>FLOOR(H1018*0.15,0.01)</f>
        <v>1002.58</v>
      </c>
    </row>
    <row r="1020" spans="1:8" ht="20.100000000000001" customHeight="1">
      <c r="A1020" s="736"/>
      <c r="B1020" s="737">
        <f>+H1020</f>
        <v>7686.5</v>
      </c>
      <c r="C1020" s="738" t="s">
        <v>3384</v>
      </c>
      <c r="D1020" s="728">
        <f>INT(B1020/B1021*100)/100</f>
        <v>768.65</v>
      </c>
      <c r="E1020" s="712" t="s">
        <v>3385</v>
      </c>
      <c r="F1020" s="727" t="s">
        <v>1711</v>
      </c>
      <c r="G1020" s="727"/>
      <c r="H1020" s="728">
        <f>SUM(H1018:H1019)</f>
        <v>7686.5</v>
      </c>
    </row>
    <row r="1021" spans="1:8" ht="20.100000000000001" customHeight="1">
      <c r="A1021" s="622"/>
      <c r="B1021" s="739">
        <v>10</v>
      </c>
      <c r="C1021" s="624"/>
      <c r="D1021" s="624"/>
      <c r="E1021" s="605"/>
      <c r="F1021" s="605"/>
      <c r="G1021" s="605"/>
      <c r="H1021" s="605"/>
    </row>
    <row r="1022" spans="1:8" ht="20.100000000000001" customHeight="1">
      <c r="A1022" s="622"/>
      <c r="B1022" s="739"/>
      <c r="C1022" s="624"/>
      <c r="D1022" s="624"/>
      <c r="E1022" s="605"/>
      <c r="F1022" s="605"/>
      <c r="G1022" s="605"/>
      <c r="H1022" s="605"/>
    </row>
    <row r="1023" spans="1:8" ht="20.100000000000001" customHeight="1">
      <c r="A1023" s="622"/>
      <c r="B1023" s="739"/>
      <c r="C1023" s="624"/>
      <c r="D1023" s="624"/>
      <c r="E1023" s="605"/>
      <c r="F1023" s="605"/>
      <c r="G1023" s="605"/>
      <c r="H1023" s="605"/>
    </row>
    <row r="1024" spans="1:8" ht="20.100000000000001" customHeight="1">
      <c r="A1024" s="622"/>
      <c r="B1024" s="739"/>
      <c r="C1024" s="624"/>
      <c r="D1024" s="624"/>
      <c r="E1024" s="605"/>
      <c r="F1024" s="605"/>
      <c r="G1024" s="605"/>
      <c r="H1024" s="605"/>
    </row>
    <row r="1025" spans="1:8" ht="20.100000000000001" customHeight="1">
      <c r="A1025" s="622"/>
      <c r="B1025" s="739"/>
      <c r="C1025" s="624"/>
      <c r="D1025" s="624"/>
      <c r="E1025" s="605"/>
      <c r="F1025" s="605"/>
      <c r="G1025" s="605"/>
      <c r="H1025" s="605"/>
    </row>
    <row r="1026" spans="1:8" ht="20.100000000000001" customHeight="1">
      <c r="A1026" s="622"/>
      <c r="B1026" s="739"/>
      <c r="C1026" s="624"/>
      <c r="D1026" s="624"/>
      <c r="E1026" s="605"/>
      <c r="F1026" s="605"/>
      <c r="G1026" s="605"/>
      <c r="H1026" s="605"/>
    </row>
    <row r="1027" spans="1:8" ht="20.100000000000001" customHeight="1">
      <c r="A1027" s="622"/>
      <c r="B1027" s="739"/>
      <c r="C1027" s="624"/>
      <c r="D1027" s="624"/>
      <c r="E1027" s="605"/>
      <c r="F1027" s="605"/>
      <c r="G1027" s="605"/>
      <c r="H1027" s="605"/>
    </row>
    <row r="1028" spans="1:8" ht="20.100000000000001" customHeight="1"/>
    <row r="1029" spans="1:8" ht="19.5">
      <c r="A1029" s="282">
        <f>+A1010+1</f>
        <v>61</v>
      </c>
      <c r="B1029" s="1089"/>
      <c r="C1029" s="1089"/>
      <c r="D1029" s="1089"/>
      <c r="E1029" s="1089"/>
      <c r="F1029" s="1089"/>
      <c r="G1029" s="1089"/>
      <c r="H1029" s="1089"/>
    </row>
    <row r="1030" spans="1:8" ht="19.5">
      <c r="A1030" s="688" t="s">
        <v>4385</v>
      </c>
      <c r="B1030" s="1089" t="s">
        <v>1054</v>
      </c>
      <c r="C1030" s="1089"/>
      <c r="D1030" s="1089"/>
      <c r="E1030" s="1089"/>
      <c r="F1030" s="1089"/>
      <c r="G1030" s="1089"/>
      <c r="H1030" s="1089"/>
    </row>
    <row r="1031" spans="1:8">
      <c r="B1031" s="1092" t="s">
        <v>3166</v>
      </c>
      <c r="C1031" s="1092"/>
      <c r="D1031" s="1092"/>
      <c r="E1031" s="1092"/>
      <c r="F1031" s="1092"/>
      <c r="G1031" s="1092"/>
      <c r="H1031" s="1092"/>
    </row>
    <row r="1032" spans="1:8" ht="30" customHeight="1">
      <c r="B1032" s="70" t="s">
        <v>3340</v>
      </c>
      <c r="C1032" s="70" t="s">
        <v>3341</v>
      </c>
      <c r="D1032" s="70" t="s">
        <v>3342</v>
      </c>
      <c r="E1032" s="70" t="s">
        <v>3343</v>
      </c>
      <c r="F1032" s="70" t="s">
        <v>3344</v>
      </c>
      <c r="G1032" s="70" t="s">
        <v>3345</v>
      </c>
      <c r="H1032" s="70" t="s">
        <v>1704</v>
      </c>
    </row>
    <row r="1033" spans="1:8" ht="24.75" customHeight="1">
      <c r="B1033" s="1067" t="s">
        <v>1705</v>
      </c>
      <c r="C1033" s="60" t="s">
        <v>610</v>
      </c>
      <c r="D1033" s="43">
        <v>17.2</v>
      </c>
      <c r="E1033" s="57" t="s">
        <v>1707</v>
      </c>
      <c r="F1033" s="111">
        <f>mason</f>
        <v>525</v>
      </c>
      <c r="G1033" s="114">
        <f t="shared" ref="G1033:G1038" si="33">FLOOR(D1033*F1033,0.01)</f>
        <v>9030</v>
      </c>
      <c r="H1033" s="112"/>
    </row>
    <row r="1034" spans="1:8" ht="17.25">
      <c r="B1034" s="1070"/>
      <c r="C1034" s="55" t="s">
        <v>1647</v>
      </c>
      <c r="D1034" s="44">
        <v>25.7</v>
      </c>
      <c r="E1034" s="58" t="s">
        <v>1707</v>
      </c>
      <c r="F1034" s="113">
        <f>'update Rate'!E4</f>
        <v>375</v>
      </c>
      <c r="G1034" s="113">
        <f t="shared" si="33"/>
        <v>9637.5</v>
      </c>
      <c r="H1034" s="125">
        <f>SUM(G1033+G1034)</f>
        <v>18667.5</v>
      </c>
    </row>
    <row r="1035" spans="1:8" ht="17.25">
      <c r="B1035" s="1069" t="s">
        <v>2330</v>
      </c>
      <c r="C1035" s="57" t="s">
        <v>1828</v>
      </c>
      <c r="D1035" s="258">
        <v>16.5</v>
      </c>
      <c r="E1035" s="57" t="s">
        <v>3170</v>
      </c>
      <c r="F1035" s="114">
        <f>'update Rate'!F77</f>
        <v>1022.2</v>
      </c>
      <c r="G1035" s="114">
        <f t="shared" si="33"/>
        <v>16866.3</v>
      </c>
      <c r="H1035" s="112"/>
    </row>
    <row r="1036" spans="1:8" ht="17.25">
      <c r="B1036" s="1094"/>
      <c r="C1036" s="55" t="s">
        <v>4313</v>
      </c>
      <c r="D1036" s="259">
        <v>0.23200000000000001</v>
      </c>
      <c r="E1036" s="55" t="s">
        <v>2530</v>
      </c>
      <c r="F1036" s="113">
        <f>Jwood</f>
        <v>33721.050000000003</v>
      </c>
      <c r="G1036" s="113">
        <f t="shared" si="33"/>
        <v>7823.28</v>
      </c>
      <c r="H1036" s="125"/>
    </row>
    <row r="1037" spans="1:8" ht="17.25">
      <c r="B1037" s="1094"/>
      <c r="C1037" s="62" t="s">
        <v>4053</v>
      </c>
      <c r="D1037" s="259">
        <v>4.4000000000000004</v>
      </c>
      <c r="E1037" s="55" t="s">
        <v>1643</v>
      </c>
      <c r="F1037" s="113">
        <f>'update Rate'!$F$198</f>
        <v>1540</v>
      </c>
      <c r="G1037" s="113">
        <f t="shared" si="33"/>
        <v>6776</v>
      </c>
      <c r="H1037" s="125"/>
    </row>
    <row r="1038" spans="1:8" ht="17.25">
      <c r="B1038" s="1073"/>
      <c r="C1038" s="58" t="s">
        <v>1829</v>
      </c>
      <c r="D1038" s="45">
        <v>25</v>
      </c>
      <c r="E1038" s="58" t="s">
        <v>3096</v>
      </c>
      <c r="F1038" s="65">
        <f>'update Rate'!$F$58</f>
        <v>99</v>
      </c>
      <c r="G1038" s="65">
        <f t="shared" si="33"/>
        <v>2475</v>
      </c>
      <c r="H1038" s="127">
        <f>SUM(G1035:G1038)</f>
        <v>33940.58</v>
      </c>
    </row>
    <row r="1039" spans="1:8" ht="15.75">
      <c r="F1039" s="42" t="s">
        <v>1708</v>
      </c>
      <c r="G1039" s="42"/>
      <c r="H1039" s="65">
        <f>SUM(H1033:H1038)</f>
        <v>52608.08</v>
      </c>
    </row>
    <row r="1040" spans="1:8" ht="15.75">
      <c r="B1040" s="1" t="s">
        <v>1710</v>
      </c>
      <c r="F1040" s="42" t="s">
        <v>1689</v>
      </c>
      <c r="G1040" s="42"/>
      <c r="H1040" s="103">
        <f>FLOOR(H1039*0.15,0.01)</f>
        <v>7891.21</v>
      </c>
    </row>
    <row r="1041" spans="1:8" ht="20.100000000000001" customHeight="1">
      <c r="A1041" s="28"/>
      <c r="B1041" s="147">
        <f>+H1041</f>
        <v>60499.29</v>
      </c>
      <c r="C1041" s="28" t="s">
        <v>3384</v>
      </c>
      <c r="D1041" s="103">
        <f>INT(B1041/B1042*100)/100</f>
        <v>604.99</v>
      </c>
      <c r="E1041" s="1" t="s">
        <v>3385</v>
      </c>
      <c r="F1041" s="42" t="s">
        <v>1711</v>
      </c>
      <c r="G1041" s="42"/>
      <c r="H1041" s="103">
        <f>SUM(H1039:H1040)</f>
        <v>60499.29</v>
      </c>
    </row>
    <row r="1042" spans="1:8" ht="20.100000000000001" customHeight="1">
      <c r="B1042" s="121">
        <v>100</v>
      </c>
    </row>
    <row r="1043" spans="1:8" ht="12" customHeight="1">
      <c r="A1043" s="1182" t="s">
        <v>3538</v>
      </c>
      <c r="B1043" s="1182"/>
      <c r="C1043" s="1182"/>
      <c r="D1043" s="1182"/>
      <c r="E1043" s="1182"/>
      <c r="F1043" s="1182"/>
      <c r="G1043" s="1182"/>
      <c r="H1043" s="1182"/>
    </row>
    <row r="1044" spans="1:8" ht="12" customHeight="1">
      <c r="B1044" s="260" t="s">
        <v>3537</v>
      </c>
    </row>
    <row r="1045" spans="1:8" ht="12" customHeight="1">
      <c r="A1045" s="1137" t="s">
        <v>3535</v>
      </c>
      <c r="B1045" s="1137"/>
      <c r="C1045" s="1137"/>
      <c r="D1045" s="1137"/>
      <c r="E1045" s="1137"/>
      <c r="F1045" s="1137"/>
      <c r="G1045" s="1137"/>
      <c r="H1045" s="1137"/>
    </row>
    <row r="1046" spans="1:8" ht="12" customHeight="1">
      <c r="B1046" s="260" t="s">
        <v>3536</v>
      </c>
    </row>
    <row r="1047" spans="1:8" ht="12" customHeight="1">
      <c r="A1047" s="1137" t="s">
        <v>2442</v>
      </c>
      <c r="B1047" s="1137"/>
      <c r="C1047" s="1137"/>
      <c r="D1047" s="1137"/>
      <c r="E1047" s="1137"/>
      <c r="F1047" s="1137"/>
      <c r="G1047" s="1137"/>
      <c r="H1047" s="1137"/>
    </row>
    <row r="1048" spans="1:8" ht="12" customHeight="1">
      <c r="B1048" s="260" t="s">
        <v>2443</v>
      </c>
    </row>
    <row r="1049" spans="1:8" ht="12" customHeight="1">
      <c r="B1049" s="260"/>
    </row>
    <row r="1050" spans="1:8" ht="20.100000000000001" customHeight="1">
      <c r="A1050" s="712"/>
      <c r="B1050" s="1090" t="s">
        <v>2838</v>
      </c>
      <c r="C1050" s="1090"/>
      <c r="D1050" s="1090"/>
      <c r="E1050" s="1090"/>
      <c r="F1050" s="1090"/>
      <c r="G1050" s="1090"/>
      <c r="H1050" s="1090"/>
    </row>
    <row r="1051" spans="1:8" ht="20.100000000000001" customHeight="1">
      <c r="A1051" s="282">
        <f>+A1029+1</f>
        <v>62</v>
      </c>
      <c r="B1051" s="1090" t="s">
        <v>2839</v>
      </c>
      <c r="C1051" s="1090"/>
      <c r="D1051" s="1090"/>
      <c r="E1051" s="1090"/>
      <c r="F1051" s="1090"/>
      <c r="G1051" s="1090"/>
      <c r="H1051" s="1090"/>
    </row>
    <row r="1052" spans="1:8" ht="20.100000000000001" customHeight="1">
      <c r="A1052" s="688" t="s">
        <v>4386</v>
      </c>
      <c r="B1052" s="1090" t="s">
        <v>2840</v>
      </c>
      <c r="C1052" s="1090"/>
      <c r="D1052" s="1090"/>
      <c r="E1052" s="1090"/>
      <c r="F1052" s="1090"/>
      <c r="G1052" s="1090"/>
      <c r="H1052" s="1090"/>
    </row>
    <row r="1053" spans="1:8" ht="17.25" customHeight="1">
      <c r="A1053" s="712"/>
      <c r="B1053" s="1141" t="s">
        <v>2773</v>
      </c>
      <c r="C1053" s="1141"/>
      <c r="D1053" s="1141"/>
      <c r="E1053" s="1141"/>
      <c r="F1053" s="1141"/>
      <c r="G1053" s="1141"/>
      <c r="H1053" s="1141"/>
    </row>
    <row r="1054" spans="1:8" ht="32.25" customHeight="1">
      <c r="A1054" s="712"/>
      <c r="B1054" s="714" t="s">
        <v>3340</v>
      </c>
      <c r="C1054" s="714" t="s">
        <v>3341</v>
      </c>
      <c r="D1054" s="714" t="s">
        <v>3342</v>
      </c>
      <c r="E1054" s="714" t="s">
        <v>3343</v>
      </c>
      <c r="F1054" s="714" t="s">
        <v>3344</v>
      </c>
      <c r="G1054" s="714" t="s">
        <v>3345</v>
      </c>
      <c r="H1054" s="714" t="s">
        <v>1704</v>
      </c>
    </row>
    <row r="1055" spans="1:8" ht="20.100000000000001" customHeight="1">
      <c r="A1055" s="712"/>
      <c r="B1055" s="1148" t="s">
        <v>1705</v>
      </c>
      <c r="C1055" s="715" t="s">
        <v>610</v>
      </c>
      <c r="D1055" s="732">
        <v>4</v>
      </c>
      <c r="E1055" s="709" t="s">
        <v>1707</v>
      </c>
      <c r="F1055" s="716">
        <f>'update Rate'!F5</f>
        <v>525</v>
      </c>
      <c r="G1055" s="717">
        <f>FLOOR(D1055*F1055,0.01)</f>
        <v>2100</v>
      </c>
      <c r="H1055" s="718"/>
    </row>
    <row r="1056" spans="1:8" ht="20.100000000000001" customHeight="1">
      <c r="A1056" s="712"/>
      <c r="B1056" s="1140"/>
      <c r="C1056" s="719" t="s">
        <v>1647</v>
      </c>
      <c r="D1056" s="733">
        <v>6</v>
      </c>
      <c r="E1056" s="723" t="s">
        <v>1707</v>
      </c>
      <c r="F1056" s="720">
        <f>'update Rate'!F4</f>
        <v>375</v>
      </c>
      <c r="G1056" s="720">
        <f>FLOOR(D1056*F1056,0.01)</f>
        <v>2250</v>
      </c>
      <c r="H1056" s="721">
        <f>SUM(G1055+G1056)</f>
        <v>4350</v>
      </c>
    </row>
    <row r="1057" spans="1:8" ht="20.100000000000001" customHeight="1">
      <c r="A1057" s="712"/>
      <c r="B1057" s="1138" t="s">
        <v>2330</v>
      </c>
      <c r="C1057" s="709" t="s">
        <v>4313</v>
      </c>
      <c r="D1057" s="722">
        <v>7.0000000000000007E-2</v>
      </c>
      <c r="E1057" s="709" t="s">
        <v>2530</v>
      </c>
      <c r="F1057" s="717">
        <f>Jwood</f>
        <v>33721.050000000003</v>
      </c>
      <c r="G1057" s="717">
        <f>FLOOR(D1057*F1057,0.01)</f>
        <v>2360.4700000000003</v>
      </c>
      <c r="H1057" s="718"/>
    </row>
    <row r="1058" spans="1:8" ht="20.100000000000001" customHeight="1">
      <c r="A1058" s="712"/>
      <c r="B1058" s="1139"/>
      <c r="C1058" s="723" t="s">
        <v>2272</v>
      </c>
      <c r="D1058" s="734">
        <v>2.5</v>
      </c>
      <c r="E1058" s="723" t="s">
        <v>3096</v>
      </c>
      <c r="F1058" s="725">
        <f>'update Rate'!F58</f>
        <v>99</v>
      </c>
      <c r="G1058" s="725">
        <f>FLOOR(D1058*F1058,0.01)</f>
        <v>247.5</v>
      </c>
      <c r="H1058" s="726">
        <f>SUM(G1057+G1058)</f>
        <v>2607.9700000000003</v>
      </c>
    </row>
    <row r="1059" spans="1:8" ht="20.100000000000001" customHeight="1">
      <c r="A1059" s="712"/>
      <c r="B1059" s="712"/>
      <c r="C1059" s="712"/>
      <c r="D1059" s="712"/>
      <c r="E1059" s="712"/>
      <c r="F1059" s="727" t="s">
        <v>1708</v>
      </c>
      <c r="G1059" s="727"/>
      <c r="H1059" s="725">
        <f>SUM(H1055:H1058)</f>
        <v>6957.97</v>
      </c>
    </row>
    <row r="1060" spans="1:8" ht="20.100000000000001" customHeight="1">
      <c r="A1060" s="712"/>
      <c r="B1060" s="712" t="s">
        <v>1710</v>
      </c>
      <c r="C1060" s="712"/>
      <c r="D1060" s="712"/>
      <c r="E1060" s="712"/>
      <c r="F1060" s="727" t="s">
        <v>1689</v>
      </c>
      <c r="G1060" s="727"/>
      <c r="H1060" s="728">
        <f>FLOOR(H1059*0.15,0.01)</f>
        <v>1043.69</v>
      </c>
    </row>
    <row r="1061" spans="1:8" ht="20.100000000000001" customHeight="1">
      <c r="A1061" s="729"/>
      <c r="B1061" s="737">
        <f>+H1061</f>
        <v>8001.66</v>
      </c>
      <c r="C1061" s="729" t="s">
        <v>3384</v>
      </c>
      <c r="D1061" s="728">
        <f>INT(B1061/B1062*100)/100</f>
        <v>800.16</v>
      </c>
      <c r="E1061" s="712" t="s">
        <v>3385</v>
      </c>
      <c r="F1061" s="727" t="s">
        <v>1711</v>
      </c>
      <c r="G1061" s="727"/>
      <c r="H1061" s="728">
        <f>SUM(H1059:H1060)</f>
        <v>8001.66</v>
      </c>
    </row>
    <row r="1062" spans="1:8" ht="20.100000000000001" customHeight="1">
      <c r="A1062" s="712"/>
      <c r="B1062" s="739">
        <v>10</v>
      </c>
      <c r="C1062" s="712"/>
      <c r="D1062" s="712"/>
      <c r="E1062" s="712"/>
      <c r="F1062" s="712"/>
      <c r="G1062" s="712"/>
      <c r="H1062" s="712"/>
    </row>
    <row r="1063" spans="1:8" ht="20.100000000000001" customHeight="1">
      <c r="A1063" s="712"/>
      <c r="B1063" s="739"/>
      <c r="C1063" s="712"/>
      <c r="D1063" s="712"/>
      <c r="E1063" s="712"/>
      <c r="F1063" s="712"/>
      <c r="G1063" s="712"/>
      <c r="H1063" s="712"/>
    </row>
    <row r="1064" spans="1:8" ht="20.100000000000001" customHeight="1">
      <c r="A1064" s="712"/>
      <c r="B1064" s="739"/>
      <c r="C1064" s="712"/>
      <c r="D1064" s="712"/>
      <c r="E1064" s="712"/>
      <c r="F1064" s="712"/>
      <c r="G1064" s="712"/>
      <c r="H1064" s="712"/>
    </row>
    <row r="1065" spans="1:8" ht="20.100000000000001" customHeight="1">
      <c r="A1065" s="712"/>
      <c r="B1065" s="739"/>
      <c r="C1065" s="712"/>
      <c r="D1065" s="712"/>
      <c r="E1065" s="712"/>
      <c r="F1065" s="712"/>
      <c r="G1065" s="712"/>
      <c r="H1065" s="712"/>
    </row>
    <row r="1066" spans="1:8" ht="20.100000000000001" customHeight="1">
      <c r="A1066" s="712"/>
      <c r="B1066" s="739"/>
      <c r="C1066" s="712"/>
      <c r="D1066" s="712"/>
      <c r="E1066" s="712"/>
      <c r="F1066" s="712"/>
      <c r="G1066" s="712"/>
      <c r="H1066" s="712"/>
    </row>
    <row r="1067" spans="1:8" ht="20.100000000000001" customHeight="1">
      <c r="A1067" s="712"/>
      <c r="B1067" s="739"/>
      <c r="C1067" s="712"/>
      <c r="D1067" s="712"/>
      <c r="E1067" s="712"/>
      <c r="F1067" s="712"/>
      <c r="G1067" s="712"/>
      <c r="H1067" s="712"/>
    </row>
    <row r="1068" spans="1:8" ht="20.100000000000001" customHeight="1">
      <c r="A1068" s="712"/>
      <c r="B1068" s="739"/>
      <c r="C1068" s="712"/>
      <c r="D1068" s="712"/>
      <c r="E1068" s="712"/>
      <c r="F1068" s="712"/>
      <c r="G1068" s="712"/>
      <c r="H1068" s="712"/>
    </row>
    <row r="1069" spans="1:8" ht="20.100000000000001" customHeight="1">
      <c r="A1069" s="712"/>
      <c r="B1069" s="739"/>
      <c r="C1069" s="712"/>
      <c r="D1069" s="712"/>
      <c r="E1069" s="712"/>
      <c r="F1069" s="712"/>
      <c r="G1069" s="712"/>
      <c r="H1069" s="712"/>
    </row>
    <row r="1070" spans="1:8" ht="20.100000000000001" customHeight="1">
      <c r="A1070" s="712"/>
      <c r="B1070" s="739"/>
      <c r="C1070" s="712"/>
      <c r="D1070" s="712"/>
      <c r="E1070" s="712"/>
      <c r="F1070" s="712"/>
      <c r="G1070" s="712"/>
      <c r="H1070" s="712"/>
    </row>
    <row r="1071" spans="1:8" ht="20.100000000000001" customHeight="1">
      <c r="A1071" s="712"/>
      <c r="B1071" s="739"/>
      <c r="C1071" s="712"/>
      <c r="D1071" s="712"/>
      <c r="E1071" s="712"/>
      <c r="F1071" s="712"/>
      <c r="G1071" s="712"/>
      <c r="H1071" s="712"/>
    </row>
    <row r="1072" spans="1:8" ht="20.100000000000001" customHeight="1">
      <c r="A1072" s="712"/>
      <c r="B1072" s="1090" t="s">
        <v>2838</v>
      </c>
      <c r="C1072" s="1090"/>
      <c r="D1072" s="1090"/>
      <c r="E1072" s="1090"/>
      <c r="F1072" s="1090"/>
      <c r="G1072" s="1090"/>
      <c r="H1072" s="1090"/>
    </row>
    <row r="1073" spans="1:8" ht="19.5">
      <c r="A1073" s="713">
        <f>+A1051+1</f>
        <v>63</v>
      </c>
      <c r="B1073" s="1090" t="s">
        <v>2841</v>
      </c>
      <c r="C1073" s="1090"/>
      <c r="D1073" s="1090"/>
      <c r="E1073" s="1090"/>
      <c r="F1073" s="1090"/>
      <c r="G1073" s="1090"/>
      <c r="H1073" s="1090"/>
    </row>
    <row r="1074" spans="1:8" ht="20.100000000000001" customHeight="1">
      <c r="A1074" s="688" t="s">
        <v>4387</v>
      </c>
      <c r="B1074" s="1090" t="s">
        <v>3796</v>
      </c>
      <c r="C1074" s="1090"/>
      <c r="D1074" s="1090"/>
      <c r="E1074" s="1090"/>
      <c r="F1074" s="1090"/>
      <c r="G1074" s="1090"/>
      <c r="H1074" s="1090"/>
    </row>
    <row r="1075" spans="1:8" ht="20.100000000000001" customHeight="1">
      <c r="A1075" s="712"/>
      <c r="B1075" s="1141" t="s">
        <v>2773</v>
      </c>
      <c r="C1075" s="1141"/>
      <c r="D1075" s="1141"/>
      <c r="E1075" s="1141"/>
      <c r="F1075" s="1141"/>
      <c r="G1075" s="1141"/>
      <c r="H1075" s="1141"/>
    </row>
    <row r="1076" spans="1:8" ht="36" customHeight="1">
      <c r="A1076" s="712"/>
      <c r="B1076" s="714" t="s">
        <v>3340</v>
      </c>
      <c r="C1076" s="714" t="s">
        <v>3341</v>
      </c>
      <c r="D1076" s="714" t="s">
        <v>3342</v>
      </c>
      <c r="E1076" s="714" t="s">
        <v>3343</v>
      </c>
      <c r="F1076" s="714" t="s">
        <v>3344</v>
      </c>
      <c r="G1076" s="714" t="s">
        <v>3345</v>
      </c>
      <c r="H1076" s="714" t="s">
        <v>1704</v>
      </c>
    </row>
    <row r="1077" spans="1:8" ht="20.100000000000001" customHeight="1">
      <c r="A1077" s="712"/>
      <c r="B1077" s="1148" t="s">
        <v>1705</v>
      </c>
      <c r="C1077" s="715" t="s">
        <v>610</v>
      </c>
      <c r="D1077" s="942">
        <v>2.67</v>
      </c>
      <c r="E1077" s="709" t="s">
        <v>1707</v>
      </c>
      <c r="F1077" s="716">
        <f>'update Rate'!F5</f>
        <v>525</v>
      </c>
      <c r="G1077" s="717">
        <f>FLOOR(D1077*F1077,0.01)</f>
        <v>1401.75</v>
      </c>
      <c r="H1077" s="718"/>
    </row>
    <row r="1078" spans="1:8" ht="20.100000000000001" customHeight="1">
      <c r="A1078" s="712"/>
      <c r="B1078" s="1140"/>
      <c r="C1078" s="719" t="s">
        <v>1647</v>
      </c>
      <c r="D1078" s="733">
        <v>4</v>
      </c>
      <c r="E1078" s="723" t="s">
        <v>1707</v>
      </c>
      <c r="F1078" s="720">
        <f>'update Rate'!F4</f>
        <v>375</v>
      </c>
      <c r="G1078" s="720">
        <f>FLOOR(D1078*F1078,0.01)</f>
        <v>1500</v>
      </c>
      <c r="H1078" s="721">
        <f>SUM(G1077+G1078)</f>
        <v>2901.75</v>
      </c>
    </row>
    <row r="1079" spans="1:8" ht="20.100000000000001" customHeight="1">
      <c r="A1079" s="712"/>
      <c r="B1079" s="1138" t="s">
        <v>2330</v>
      </c>
      <c r="C1079" s="709" t="s">
        <v>4313</v>
      </c>
      <c r="D1079" s="722">
        <v>7.0000000000000007E-2</v>
      </c>
      <c r="E1079" s="709" t="s">
        <v>2530</v>
      </c>
      <c r="F1079" s="717">
        <f>Jwood</f>
        <v>33721.050000000003</v>
      </c>
      <c r="G1079" s="717">
        <f>FLOOR(D1079*F1079,0.01)</f>
        <v>2360.4700000000003</v>
      </c>
      <c r="H1079" s="718"/>
    </row>
    <row r="1080" spans="1:8" ht="20.100000000000001" customHeight="1">
      <c r="A1080" s="712"/>
      <c r="B1080" s="1139"/>
      <c r="C1080" s="723" t="s">
        <v>2272</v>
      </c>
      <c r="D1080" s="734">
        <v>2.5</v>
      </c>
      <c r="E1080" s="723" t="s">
        <v>3096</v>
      </c>
      <c r="F1080" s="725">
        <f>'update Rate'!F58</f>
        <v>99</v>
      </c>
      <c r="G1080" s="725">
        <f>FLOOR(D1080*F1080,0.01)</f>
        <v>247.5</v>
      </c>
      <c r="H1080" s="726">
        <f>SUM(G1079+G1080)</f>
        <v>2607.9700000000003</v>
      </c>
    </row>
    <row r="1081" spans="1:8" ht="20.100000000000001" customHeight="1">
      <c r="A1081" s="712"/>
      <c r="B1081" s="712"/>
      <c r="C1081" s="712"/>
      <c r="D1081" s="712"/>
      <c r="E1081" s="712"/>
      <c r="F1081" s="727"/>
      <c r="G1081" s="727"/>
      <c r="H1081" s="725">
        <f>SUM(H1077:H1080)</f>
        <v>5509.72</v>
      </c>
    </row>
    <row r="1082" spans="1:8" ht="20.100000000000001" customHeight="1">
      <c r="A1082" s="729"/>
      <c r="B1082" s="712" t="s">
        <v>1710</v>
      </c>
      <c r="C1082" s="712"/>
      <c r="D1082" s="712"/>
      <c r="E1082" s="712"/>
      <c r="F1082" s="727" t="s">
        <v>1689</v>
      </c>
      <c r="G1082" s="727"/>
      <c r="H1082" s="728">
        <f>FLOOR(H1081*0.15,0.01)</f>
        <v>826.45</v>
      </c>
    </row>
    <row r="1083" spans="1:8" ht="20.100000000000001" customHeight="1">
      <c r="A1083" s="712"/>
      <c r="B1083" s="737">
        <f>+H1083</f>
        <v>6336.17</v>
      </c>
      <c r="C1083" s="729" t="s">
        <v>3384</v>
      </c>
      <c r="D1083" s="728">
        <f>INT(B1083/B1084*100)/100</f>
        <v>633.61</v>
      </c>
      <c r="E1083" s="712" t="s">
        <v>3385</v>
      </c>
      <c r="F1083" s="727" t="s">
        <v>1711</v>
      </c>
      <c r="G1083" s="727"/>
      <c r="H1083" s="728">
        <f>SUM(H1081:H1082)</f>
        <v>6336.17</v>
      </c>
    </row>
    <row r="1084" spans="1:8" ht="20.100000000000001" customHeight="1">
      <c r="A1084" s="712"/>
      <c r="B1084" s="739">
        <v>10</v>
      </c>
      <c r="C1084" s="712"/>
      <c r="D1084" s="712"/>
      <c r="E1084" s="712"/>
      <c r="F1084" s="727"/>
      <c r="G1084" s="727"/>
      <c r="H1084" s="731"/>
    </row>
    <row r="1085" spans="1:8" ht="20.100000000000001" customHeight="1">
      <c r="A1085" s="712"/>
      <c r="B1085" s="739"/>
      <c r="C1085" s="712"/>
      <c r="D1085" s="712"/>
      <c r="E1085" s="712"/>
      <c r="F1085" s="727"/>
      <c r="G1085" s="727"/>
      <c r="H1085" s="731"/>
    </row>
    <row r="1086" spans="1:8" ht="14.25" customHeight="1">
      <c r="A1086" s="712"/>
      <c r="B1086" s="739"/>
      <c r="C1086" s="712"/>
      <c r="D1086" s="712"/>
      <c r="E1086" s="712"/>
      <c r="F1086" s="727"/>
      <c r="G1086" s="727"/>
      <c r="H1086" s="731"/>
    </row>
    <row r="1087" spans="1:8" ht="20.100000000000001" customHeight="1">
      <c r="A1087" s="1153" t="s">
        <v>2095</v>
      </c>
      <c r="B1087" s="1153"/>
      <c r="C1087" s="1153"/>
      <c r="D1087" s="1153"/>
      <c r="E1087" s="1153"/>
      <c r="F1087" s="1153"/>
      <c r="G1087" s="1153"/>
      <c r="H1087" s="1153"/>
    </row>
    <row r="1088" spans="1:8" ht="19.5">
      <c r="A1088" s="713">
        <f>+A1073+1</f>
        <v>64</v>
      </c>
      <c r="B1088" s="1153" t="s">
        <v>2096</v>
      </c>
      <c r="C1088" s="1090"/>
      <c r="D1088" s="1090"/>
      <c r="E1088" s="1090"/>
      <c r="F1088" s="1090"/>
      <c r="G1088" s="1090"/>
      <c r="H1088" s="1090"/>
    </row>
    <row r="1089" spans="1:8">
      <c r="A1089" s="865" t="s">
        <v>4069</v>
      </c>
      <c r="B1089" s="1141" t="s">
        <v>2773</v>
      </c>
      <c r="C1089" s="1141"/>
      <c r="D1089" s="1141"/>
      <c r="E1089" s="1141"/>
      <c r="F1089" s="1141"/>
      <c r="G1089" s="1141"/>
      <c r="H1089" s="1141"/>
    </row>
    <row r="1090" spans="1:8" ht="31.5">
      <c r="A1090" s="712"/>
      <c r="B1090" s="714" t="s">
        <v>3340</v>
      </c>
      <c r="C1090" s="714" t="s">
        <v>3341</v>
      </c>
      <c r="D1090" s="714" t="s">
        <v>3342</v>
      </c>
      <c r="E1090" s="714" t="s">
        <v>3343</v>
      </c>
      <c r="F1090" s="714" t="s">
        <v>3344</v>
      </c>
      <c r="G1090" s="714" t="s">
        <v>3345</v>
      </c>
      <c r="H1090" s="714" t="s">
        <v>1704</v>
      </c>
    </row>
    <row r="1091" spans="1:8" ht="17.25">
      <c r="A1091" s="712"/>
      <c r="B1091" s="1138" t="s">
        <v>1705</v>
      </c>
      <c r="C1091" s="715" t="s">
        <v>610</v>
      </c>
      <c r="D1091" s="732">
        <v>2.67</v>
      </c>
      <c r="E1091" s="709" t="s">
        <v>1707</v>
      </c>
      <c r="F1091" s="716">
        <f>mason</f>
        <v>525</v>
      </c>
      <c r="G1091" s="717">
        <f t="shared" ref="G1091:G1096" si="34">FLOOR(D1091*F1091,0.01)</f>
        <v>1401.75</v>
      </c>
      <c r="H1091" s="718"/>
    </row>
    <row r="1092" spans="1:8" ht="20.100000000000001" customHeight="1">
      <c r="A1092" s="712"/>
      <c r="B1092" s="1140"/>
      <c r="C1092" s="719" t="s">
        <v>1647</v>
      </c>
      <c r="D1092" s="733">
        <v>4</v>
      </c>
      <c r="E1092" s="723" t="s">
        <v>1707</v>
      </c>
      <c r="F1092" s="720">
        <f>'update Rate'!E4</f>
        <v>375</v>
      </c>
      <c r="G1092" s="720">
        <f t="shared" si="34"/>
        <v>1500</v>
      </c>
      <c r="H1092" s="721">
        <f>SUM(G1091+G1092)</f>
        <v>2901.75</v>
      </c>
    </row>
    <row r="1093" spans="1:8" ht="20.100000000000001" customHeight="1">
      <c r="A1093" s="712"/>
      <c r="B1093" s="744" t="s">
        <v>2330</v>
      </c>
      <c r="C1093" s="709" t="s">
        <v>1605</v>
      </c>
      <c r="D1093" s="722">
        <v>1.65</v>
      </c>
      <c r="E1093" s="709" t="s">
        <v>3170</v>
      </c>
      <c r="F1093" s="717">
        <f>'update Rate'!$F$77</f>
        <v>1022.2</v>
      </c>
      <c r="G1093" s="717">
        <f t="shared" si="34"/>
        <v>1686.63</v>
      </c>
      <c r="H1093" s="718"/>
    </row>
    <row r="1094" spans="1:8" ht="20.100000000000001" customHeight="1">
      <c r="A1094" s="712"/>
      <c r="B1094" s="745"/>
      <c r="C1094" s="719" t="s">
        <v>1606</v>
      </c>
      <c r="D1094" s="746">
        <v>3.9E-2</v>
      </c>
      <c r="E1094" s="719" t="s">
        <v>2530</v>
      </c>
      <c r="F1094" s="720">
        <f>'update Rate'!$F$54</f>
        <v>33721.050000000003</v>
      </c>
      <c r="G1094" s="720">
        <f t="shared" si="34"/>
        <v>1315.1200000000001</v>
      </c>
      <c r="H1094" s="721"/>
    </row>
    <row r="1095" spans="1:8" ht="20.100000000000001" customHeight="1">
      <c r="A1095" s="712"/>
      <c r="B1095" s="745"/>
      <c r="C1095" s="719" t="s">
        <v>1607</v>
      </c>
      <c r="D1095" s="746">
        <v>0.4</v>
      </c>
      <c r="E1095" s="719" t="s">
        <v>1643</v>
      </c>
      <c r="F1095" s="720">
        <f>'update Rate'!F198</f>
        <v>1540</v>
      </c>
      <c r="G1095" s="720">
        <f t="shared" si="34"/>
        <v>616</v>
      </c>
      <c r="H1095" s="721"/>
    </row>
    <row r="1096" spans="1:8" ht="20.100000000000001" customHeight="1">
      <c r="A1096" s="712"/>
      <c r="B1096" s="747"/>
      <c r="C1096" s="723" t="s">
        <v>2272</v>
      </c>
      <c r="D1096" s="734">
        <v>2.5</v>
      </c>
      <c r="E1096" s="723" t="s">
        <v>3096</v>
      </c>
      <c r="F1096" s="725">
        <f>'update Rate'!F58</f>
        <v>99</v>
      </c>
      <c r="G1096" s="725">
        <f t="shared" si="34"/>
        <v>247.5</v>
      </c>
      <c r="H1096" s="726">
        <f>SUM(G1093:G1096)</f>
        <v>3865.25</v>
      </c>
    </row>
    <row r="1097" spans="1:8" ht="20.100000000000001" customHeight="1">
      <c r="A1097" s="712"/>
      <c r="B1097" s="712"/>
      <c r="C1097" s="712"/>
      <c r="D1097" s="712"/>
      <c r="E1097" s="712"/>
      <c r="F1097" s="727" t="s">
        <v>1708</v>
      </c>
      <c r="G1097" s="727"/>
      <c r="H1097" s="725">
        <f>SUM(H1091:H1096)</f>
        <v>6767</v>
      </c>
    </row>
    <row r="1098" spans="1:8" ht="20.100000000000001" customHeight="1">
      <c r="A1098" s="712"/>
      <c r="B1098" s="735" t="s">
        <v>1710</v>
      </c>
      <c r="C1098" s="712"/>
      <c r="D1098" s="712"/>
      <c r="E1098" s="712"/>
      <c r="F1098" s="727" t="s">
        <v>1689</v>
      </c>
      <c r="G1098" s="727"/>
      <c r="H1098" s="728">
        <f>FLOOR(H1097*0.15,0.01)</f>
        <v>1015.0500000000001</v>
      </c>
    </row>
    <row r="1099" spans="1:8" ht="20.100000000000001" customHeight="1">
      <c r="A1099" s="736"/>
      <c r="B1099" s="737">
        <f>+H1099</f>
        <v>7782.05</v>
      </c>
      <c r="C1099" s="738" t="s">
        <v>3384</v>
      </c>
      <c r="D1099" s="728">
        <f>INT(B1099/B1100*100)/100</f>
        <v>778.2</v>
      </c>
      <c r="E1099" s="712" t="s">
        <v>3385</v>
      </c>
      <c r="F1099" s="727" t="s">
        <v>1711</v>
      </c>
      <c r="G1099" s="727"/>
      <c r="H1099" s="728">
        <f>SUM(H1097:H1098)</f>
        <v>7782.05</v>
      </c>
    </row>
    <row r="1100" spans="1:8" ht="20.100000000000001" customHeight="1">
      <c r="A1100" s="736"/>
      <c r="B1100" s="739">
        <v>10</v>
      </c>
      <c r="C1100" s="740"/>
      <c r="D1100" s="740"/>
      <c r="E1100" s="712"/>
      <c r="F1100" s="727"/>
      <c r="G1100" s="727"/>
      <c r="H1100" s="731"/>
    </row>
    <row r="1101" spans="1:8" ht="12" customHeight="1">
      <c r="A1101" s="1146" t="s">
        <v>3797</v>
      </c>
      <c r="B1101" s="1146"/>
      <c r="C1101" s="1146"/>
      <c r="D1101" s="1146"/>
      <c r="E1101" s="1146"/>
      <c r="F1101" s="1146"/>
      <c r="G1101" s="1146"/>
      <c r="H1101" s="1146"/>
    </row>
    <row r="1102" spans="1:8" ht="12" customHeight="1">
      <c r="A1102" s="712"/>
      <c r="B1102" s="748" t="s">
        <v>786</v>
      </c>
      <c r="C1102" s="712"/>
      <c r="D1102" s="712"/>
      <c r="E1102" s="712"/>
      <c r="F1102" s="712"/>
      <c r="G1102" s="712"/>
      <c r="H1102" s="712"/>
    </row>
    <row r="1103" spans="1:8" ht="12" customHeight="1">
      <c r="A1103" s="1145" t="s">
        <v>3535</v>
      </c>
      <c r="B1103" s="1145"/>
      <c r="C1103" s="1145"/>
      <c r="D1103" s="1145"/>
      <c r="E1103" s="1145"/>
      <c r="F1103" s="1145"/>
      <c r="G1103" s="1145"/>
      <c r="H1103" s="1145"/>
    </row>
    <row r="1104" spans="1:8" ht="12" customHeight="1">
      <c r="A1104" s="712"/>
      <c r="B1104" s="748" t="s">
        <v>555</v>
      </c>
      <c r="C1104" s="712"/>
      <c r="D1104" s="712"/>
      <c r="E1104" s="712"/>
      <c r="F1104" s="712"/>
      <c r="G1104" s="712"/>
      <c r="H1104" s="712"/>
    </row>
    <row r="1105" spans="1:8" ht="12" customHeight="1">
      <c r="A1105" s="1145" t="s">
        <v>2442</v>
      </c>
      <c r="B1105" s="1145"/>
      <c r="C1105" s="1145"/>
      <c r="D1105" s="1145"/>
      <c r="E1105" s="1145"/>
      <c r="F1105" s="1145"/>
      <c r="G1105" s="1145"/>
      <c r="H1105" s="1145"/>
    </row>
    <row r="1106" spans="1:8" ht="12" customHeight="1">
      <c r="A1106" s="712"/>
      <c r="B1106" s="748" t="s">
        <v>787</v>
      </c>
      <c r="C1106" s="712"/>
      <c r="D1106" s="712"/>
      <c r="E1106" s="712"/>
      <c r="F1106" s="712"/>
      <c r="G1106" s="712"/>
      <c r="H1106" s="712"/>
    </row>
    <row r="1107" spans="1:8" ht="17.25">
      <c r="A1107" s="712"/>
      <c r="B1107" s="712"/>
      <c r="C1107" s="712"/>
      <c r="D1107" s="730"/>
      <c r="E1107" s="712"/>
      <c r="F1107" s="727"/>
      <c r="G1107" s="727"/>
      <c r="H1107" s="731"/>
    </row>
    <row r="1108" spans="1:8" ht="17.25">
      <c r="A1108" s="712"/>
      <c r="B1108" s="712"/>
      <c r="C1108" s="712"/>
      <c r="D1108" s="730"/>
      <c r="E1108" s="712"/>
      <c r="F1108" s="727"/>
      <c r="G1108" s="727"/>
      <c r="H1108" s="731"/>
    </row>
    <row r="1109" spans="1:8" ht="17.25">
      <c r="A1109" s="712"/>
      <c r="B1109" s="712"/>
      <c r="C1109" s="712"/>
      <c r="D1109" s="730"/>
      <c r="E1109" s="712"/>
      <c r="F1109" s="727"/>
      <c r="G1109" s="727"/>
      <c r="H1109" s="731"/>
    </row>
    <row r="1110" spans="1:8" ht="17.25">
      <c r="A1110" s="712"/>
      <c r="B1110" s="712"/>
      <c r="C1110" s="712"/>
      <c r="D1110" s="730"/>
      <c r="E1110" s="712"/>
      <c r="F1110" s="727"/>
      <c r="G1110" s="727"/>
      <c r="H1110" s="731"/>
    </row>
    <row r="1111" spans="1:8" ht="17.25">
      <c r="A1111" s="712"/>
      <c r="B1111" s="712"/>
      <c r="C1111" s="712"/>
      <c r="D1111" s="730"/>
      <c r="E1111" s="712"/>
      <c r="F1111" s="727"/>
      <c r="G1111" s="727"/>
      <c r="H1111" s="731"/>
    </row>
    <row r="1112" spans="1:8" ht="17.25">
      <c r="A1112" s="712"/>
      <c r="B1112" s="712"/>
      <c r="C1112" s="712"/>
      <c r="D1112" s="730"/>
      <c r="E1112" s="712"/>
      <c r="F1112" s="727"/>
      <c r="G1112" s="727"/>
      <c r="H1112" s="731"/>
    </row>
    <row r="1113" spans="1:8" ht="17.25">
      <c r="A1113" s="712"/>
      <c r="B1113" s="712"/>
      <c r="C1113" s="712"/>
      <c r="D1113" s="730"/>
      <c r="E1113" s="712"/>
      <c r="F1113" s="727"/>
      <c r="G1113" s="727"/>
      <c r="H1113" s="731"/>
    </row>
    <row r="1114" spans="1:8" ht="17.25">
      <c r="A1114" s="712"/>
      <c r="B1114" s="712"/>
      <c r="C1114" s="712"/>
      <c r="D1114" s="730"/>
      <c r="E1114" s="712"/>
      <c r="F1114" s="727"/>
      <c r="G1114" s="727"/>
      <c r="H1114" s="731"/>
    </row>
    <row r="1115" spans="1:8" ht="19.5">
      <c r="A1115" s="1090" t="s">
        <v>3544</v>
      </c>
      <c r="B1115" s="1090"/>
      <c r="C1115" s="1090"/>
      <c r="D1115" s="1090"/>
      <c r="E1115" s="1090"/>
      <c r="F1115" s="1090"/>
      <c r="G1115" s="1090"/>
      <c r="H1115" s="1090"/>
    </row>
    <row r="1116" spans="1:8" ht="19.5">
      <c r="A1116" s="713">
        <f>+A1088+1</f>
        <v>65</v>
      </c>
      <c r="B1116" s="1154" t="s">
        <v>2685</v>
      </c>
      <c r="C1116" s="1090"/>
      <c r="D1116" s="1090"/>
      <c r="E1116" s="1090"/>
      <c r="F1116" s="1090"/>
      <c r="G1116" s="1090"/>
      <c r="H1116" s="1090"/>
    </row>
    <row r="1117" spans="1:8" ht="19.5">
      <c r="A1117" s="865" t="s">
        <v>4070</v>
      </c>
      <c r="B1117" s="712"/>
      <c r="C1117" s="749"/>
      <c r="D1117" s="712"/>
      <c r="E1117" s="749" t="s">
        <v>2699</v>
      </c>
      <c r="F1117" s="749"/>
      <c r="G1117" s="749"/>
      <c r="H1117" s="749"/>
    </row>
    <row r="1118" spans="1:8" ht="15.75">
      <c r="A1118" s="712"/>
      <c r="B1118" s="712"/>
      <c r="C1118" s="750"/>
      <c r="D1118" s="750"/>
      <c r="E1118" s="751" t="s">
        <v>1196</v>
      </c>
      <c r="F1118" s="750"/>
      <c r="G1118" s="750"/>
      <c r="H1118" s="750"/>
    </row>
    <row r="1119" spans="1:8" ht="31.5">
      <c r="A1119" s="712"/>
      <c r="B1119" s="714" t="s">
        <v>3340</v>
      </c>
      <c r="C1119" s="714" t="s">
        <v>3341</v>
      </c>
      <c r="D1119" s="714" t="s">
        <v>3342</v>
      </c>
      <c r="E1119" s="714" t="s">
        <v>3343</v>
      </c>
      <c r="F1119" s="714" t="s">
        <v>3344</v>
      </c>
      <c r="G1119" s="714" t="s">
        <v>3345</v>
      </c>
      <c r="H1119" s="714" t="s">
        <v>1704</v>
      </c>
    </row>
    <row r="1120" spans="1:8" ht="17.25">
      <c r="A1120" s="712"/>
      <c r="B1120" s="715" t="s">
        <v>1705</v>
      </c>
      <c r="C1120" s="715" t="s">
        <v>610</v>
      </c>
      <c r="D1120" s="742">
        <v>1.5740000000000001</v>
      </c>
      <c r="E1120" s="709" t="s">
        <v>1707</v>
      </c>
      <c r="F1120" s="716">
        <f>mason</f>
        <v>525</v>
      </c>
      <c r="G1120" s="717">
        <f t="shared" ref="G1120:G1125" si="35">FLOOR(D1120*F1120,0.01)</f>
        <v>826.35</v>
      </c>
      <c r="H1120" s="718"/>
    </row>
    <row r="1121" spans="1:8" ht="17.25">
      <c r="A1121" s="712"/>
      <c r="B1121" s="752"/>
      <c r="C1121" s="719" t="s">
        <v>1647</v>
      </c>
      <c r="D1121" s="743">
        <v>2.3610000000000002</v>
      </c>
      <c r="E1121" s="723" t="s">
        <v>1707</v>
      </c>
      <c r="F1121" s="720">
        <f>'update Rate'!E4</f>
        <v>375</v>
      </c>
      <c r="G1121" s="720">
        <f t="shared" si="35"/>
        <v>885.37</v>
      </c>
      <c r="H1121" s="721">
        <f>SUM(G1120+G1121)</f>
        <v>1711.72</v>
      </c>
    </row>
    <row r="1122" spans="1:8" ht="17.25">
      <c r="A1122" s="712"/>
      <c r="B1122" s="1138" t="s">
        <v>2330</v>
      </c>
      <c r="C1122" s="709" t="s">
        <v>1605</v>
      </c>
      <c r="D1122" s="722">
        <v>0.69299999999999995</v>
      </c>
      <c r="E1122" s="709" t="s">
        <v>3170</v>
      </c>
      <c r="F1122" s="717">
        <f>'update Rate'!$F$77</f>
        <v>1022.2</v>
      </c>
      <c r="G1122" s="717">
        <f t="shared" si="35"/>
        <v>708.38</v>
      </c>
      <c r="H1122" s="718"/>
    </row>
    <row r="1123" spans="1:8" ht="17.25">
      <c r="A1123" s="712"/>
      <c r="B1123" s="1172"/>
      <c r="C1123" s="719" t="s">
        <v>1606</v>
      </c>
      <c r="D1123" s="746">
        <v>1.9E-2</v>
      </c>
      <c r="E1123" s="719" t="s">
        <v>2530</v>
      </c>
      <c r="F1123" s="720">
        <f>Jwood</f>
        <v>33721.050000000003</v>
      </c>
      <c r="G1123" s="720">
        <f t="shared" si="35"/>
        <v>640.69000000000005</v>
      </c>
      <c r="H1123" s="753"/>
    </row>
    <row r="1124" spans="1:8" ht="20.100000000000001" customHeight="1">
      <c r="A1124" s="712"/>
      <c r="B1124" s="1172"/>
      <c r="C1124" s="719" t="s">
        <v>2444</v>
      </c>
      <c r="D1124" s="746">
        <v>0.54</v>
      </c>
      <c r="E1124" s="719" t="s">
        <v>3096</v>
      </c>
      <c r="F1124" s="720">
        <f>'update Rate'!F124*6</f>
        <v>132</v>
      </c>
      <c r="G1124" s="720">
        <f t="shared" si="35"/>
        <v>71.28</v>
      </c>
      <c r="H1124" s="753"/>
    </row>
    <row r="1125" spans="1:8" ht="20.100000000000001" customHeight="1">
      <c r="A1125" s="736"/>
      <c r="B1125" s="1140"/>
      <c r="C1125" s="723" t="s">
        <v>2272</v>
      </c>
      <c r="D1125" s="734">
        <v>2.5</v>
      </c>
      <c r="E1125" s="723" t="s">
        <v>3096</v>
      </c>
      <c r="F1125" s="725">
        <f>'update Rate'!F58</f>
        <v>99</v>
      </c>
      <c r="G1125" s="725">
        <f t="shared" si="35"/>
        <v>247.5</v>
      </c>
      <c r="H1125" s="726">
        <f>SUM(G1122:G1125)</f>
        <v>1667.8500000000001</v>
      </c>
    </row>
    <row r="1126" spans="1:8" ht="20.100000000000001" customHeight="1">
      <c r="A1126" s="736"/>
      <c r="B1126" s="712"/>
      <c r="C1126" s="712"/>
      <c r="D1126" s="712"/>
      <c r="E1126" s="712"/>
      <c r="F1126" s="727" t="s">
        <v>1708</v>
      </c>
      <c r="G1126" s="727"/>
      <c r="H1126" s="725">
        <f>SUM(H1120:H1125)</f>
        <v>3379.57</v>
      </c>
    </row>
    <row r="1127" spans="1:8" ht="20.100000000000001" customHeight="1">
      <c r="A1127" s="736"/>
      <c r="B1127" s="735" t="s">
        <v>1710</v>
      </c>
      <c r="C1127" s="712"/>
      <c r="D1127" s="712"/>
      <c r="E1127" s="712"/>
      <c r="F1127" s="727" t="s">
        <v>1689</v>
      </c>
      <c r="G1127" s="727"/>
      <c r="H1127" s="728">
        <f>FLOOR(H1126*0.15,0.01)</f>
        <v>506.93</v>
      </c>
    </row>
    <row r="1128" spans="1:8" ht="20.100000000000001" customHeight="1">
      <c r="A1128" s="736"/>
      <c r="B1128" s="737">
        <f>+H1128</f>
        <v>3886.5</v>
      </c>
      <c r="C1128" s="738" t="s">
        <v>3384</v>
      </c>
      <c r="D1128" s="728">
        <f>INT(B1128/B1129*100)/100</f>
        <v>925.35</v>
      </c>
      <c r="E1128" s="712" t="s">
        <v>3385</v>
      </c>
      <c r="F1128" s="727" t="s">
        <v>1711</v>
      </c>
      <c r="G1128" s="727"/>
      <c r="H1128" s="728">
        <f>SUM(H1126:H1127)</f>
        <v>3886.5</v>
      </c>
    </row>
    <row r="1129" spans="1:8">
      <c r="A1129" s="736"/>
      <c r="B1129" s="754">
        <v>4.2</v>
      </c>
      <c r="C1129" s="740"/>
      <c r="D1129" s="740"/>
      <c r="E1129" s="712"/>
      <c r="F1129" s="712"/>
      <c r="G1129" s="712"/>
      <c r="H1129" s="712"/>
    </row>
    <row r="1130" spans="1:8" ht="12" customHeight="1">
      <c r="A1130" s="1146" t="s">
        <v>3797</v>
      </c>
      <c r="B1130" s="1146"/>
      <c r="C1130" s="1146"/>
      <c r="D1130" s="1146"/>
      <c r="E1130" s="1146"/>
      <c r="F1130" s="1146"/>
      <c r="G1130" s="1146"/>
      <c r="H1130" s="1146"/>
    </row>
    <row r="1131" spans="1:8" ht="12" customHeight="1">
      <c r="A1131" s="712"/>
      <c r="B1131" s="748" t="s">
        <v>2097</v>
      </c>
      <c r="C1131" s="712"/>
      <c r="D1131" s="712"/>
      <c r="E1131" s="712"/>
      <c r="F1131" s="712"/>
      <c r="G1131" s="712"/>
      <c r="H1131" s="712"/>
    </row>
    <row r="1132" spans="1:8" ht="12" customHeight="1">
      <c r="A1132" s="1145" t="s">
        <v>3535</v>
      </c>
      <c r="B1132" s="1145"/>
      <c r="C1132" s="1145"/>
      <c r="D1132" s="1145"/>
      <c r="E1132" s="1145"/>
      <c r="F1132" s="1145"/>
      <c r="G1132" s="1145"/>
      <c r="H1132" s="1145"/>
    </row>
    <row r="1133" spans="1:8" ht="12" customHeight="1">
      <c r="A1133" s="712"/>
      <c r="B1133" s="748" t="s">
        <v>2963</v>
      </c>
      <c r="C1133" s="712"/>
      <c r="D1133" s="712"/>
      <c r="E1133" s="712"/>
      <c r="F1133" s="712"/>
      <c r="G1133" s="712"/>
      <c r="H1133" s="712"/>
    </row>
    <row r="1134" spans="1:8" ht="12" customHeight="1">
      <c r="A1134" s="1145" t="s">
        <v>2962</v>
      </c>
      <c r="B1134" s="1145"/>
      <c r="C1134" s="1145"/>
      <c r="D1134" s="1145"/>
      <c r="E1134" s="1145"/>
      <c r="F1134" s="1145"/>
      <c r="G1134" s="1145"/>
      <c r="H1134" s="1145"/>
    </row>
    <row r="1135" spans="1:8" ht="12" customHeight="1">
      <c r="A1135" s="712"/>
      <c r="B1135" s="748" t="s">
        <v>2098</v>
      </c>
      <c r="C1135" s="712"/>
      <c r="D1135" s="712"/>
      <c r="E1135" s="712"/>
      <c r="F1135" s="712"/>
      <c r="G1135" s="712"/>
      <c r="H1135" s="712"/>
    </row>
    <row r="1136" spans="1:8">
      <c r="A1136"/>
      <c r="B1136" s="121"/>
      <c r="C1136" s="94"/>
      <c r="D1136" s="94"/>
    </row>
    <row r="1137" spans="1:8" ht="17.25" customHeight="1">
      <c r="A1137" s="282">
        <f>+A1116+1</f>
        <v>66</v>
      </c>
      <c r="B1137" s="1076" t="s">
        <v>3163</v>
      </c>
      <c r="C1137" s="1089"/>
      <c r="D1137" s="1089"/>
      <c r="E1137" s="1089"/>
      <c r="F1137" s="1089"/>
      <c r="G1137" s="1089"/>
      <c r="H1137" s="1089"/>
    </row>
    <row r="1138" spans="1:8" ht="19.5">
      <c r="A1138" s="688" t="s">
        <v>4388</v>
      </c>
      <c r="B1138" s="1076" t="s">
        <v>3164</v>
      </c>
      <c r="C1138" s="1089"/>
      <c r="D1138" s="1089"/>
      <c r="E1138" s="1089"/>
      <c r="F1138" s="1089"/>
      <c r="G1138" s="1089"/>
      <c r="H1138" s="1089"/>
    </row>
    <row r="1139" spans="1:8" ht="18.75" customHeight="1">
      <c r="B1139" s="1083" t="s">
        <v>3166</v>
      </c>
      <c r="C1139" s="1083"/>
      <c r="D1139" s="1083"/>
      <c r="E1139" s="1083"/>
      <c r="F1139" s="1083"/>
      <c r="G1139" s="1083"/>
      <c r="H1139" s="1083"/>
    </row>
    <row r="1140" spans="1:8" ht="30.75" customHeight="1">
      <c r="B1140" s="70" t="s">
        <v>3340</v>
      </c>
      <c r="C1140" s="70" t="s">
        <v>3341</v>
      </c>
      <c r="D1140" s="70" t="s">
        <v>3342</v>
      </c>
      <c r="E1140" s="70" t="s">
        <v>3343</v>
      </c>
      <c r="F1140" s="70" t="s">
        <v>3344</v>
      </c>
      <c r="G1140" s="70" t="s">
        <v>3345</v>
      </c>
      <c r="H1140" s="70" t="s">
        <v>1704</v>
      </c>
    </row>
    <row r="1141" spans="1:8" ht="17.25">
      <c r="B1141" s="1067" t="s">
        <v>1705</v>
      </c>
      <c r="C1141" s="60" t="s">
        <v>610</v>
      </c>
      <c r="D1141" s="43">
        <v>0.5</v>
      </c>
      <c r="E1141" s="57" t="s">
        <v>1707</v>
      </c>
      <c r="F1141" s="111">
        <f>'update Rate'!F5</f>
        <v>525</v>
      </c>
      <c r="G1141" s="114">
        <f>FLOOR(D1141*F1141,0.01)</f>
        <v>262.5</v>
      </c>
      <c r="H1141" s="112"/>
    </row>
    <row r="1142" spans="1:8" ht="18.75" customHeight="1">
      <c r="B1142" s="1070"/>
      <c r="C1142" s="55" t="s">
        <v>1647</v>
      </c>
      <c r="D1142" s="211">
        <v>1</v>
      </c>
      <c r="E1142" s="58" t="s">
        <v>1707</v>
      </c>
      <c r="F1142" s="113">
        <f>'update Rate'!F4</f>
        <v>375</v>
      </c>
      <c r="G1142" s="113">
        <f>FLOOR(D1142*F1142,0.01)</f>
        <v>375</v>
      </c>
      <c r="H1142" s="125">
        <f>SUM(G1141+G1142)</f>
        <v>637.5</v>
      </c>
    </row>
    <row r="1143" spans="1:8" ht="18.75" customHeight="1">
      <c r="B1143" s="1069" t="s">
        <v>2330</v>
      </c>
      <c r="C1143" s="57" t="s">
        <v>2182</v>
      </c>
      <c r="D1143" s="258">
        <v>4.16</v>
      </c>
      <c r="E1143" s="57" t="s">
        <v>3170</v>
      </c>
      <c r="F1143" s="195">
        <f>jphalak</f>
        <v>1255.33</v>
      </c>
      <c r="G1143" s="114">
        <f>FLOOR(D1143*F1143,0.01)</f>
        <v>5222.17</v>
      </c>
      <c r="H1143" s="201"/>
    </row>
    <row r="1144" spans="1:8" ht="18.75" customHeight="1">
      <c r="B1144" s="1094"/>
      <c r="C1144" s="55" t="s">
        <v>2327</v>
      </c>
      <c r="D1144" s="54">
        <v>0.254</v>
      </c>
      <c r="E1144" s="55" t="s">
        <v>2530</v>
      </c>
      <c r="F1144" s="194">
        <f>'update Rate'!$F$54</f>
        <v>33721.050000000003</v>
      </c>
      <c r="G1144" s="113">
        <f>FLOOR(D1144*F1144,0.01)</f>
        <v>8565.14</v>
      </c>
      <c r="H1144" s="156"/>
    </row>
    <row r="1145" spans="1:8" ht="18.75" customHeight="1">
      <c r="B1145" s="1073"/>
      <c r="C1145" s="140" t="s">
        <v>1537</v>
      </c>
      <c r="D1145" s="45"/>
      <c r="E1145" s="58"/>
      <c r="F1145" s="196"/>
      <c r="G1145" s="65"/>
      <c r="H1145" s="202">
        <f>SUM(G1143+G1144)</f>
        <v>13787.31</v>
      </c>
    </row>
    <row r="1146" spans="1:8" ht="18.75" customHeight="1">
      <c r="F1146" s="42" t="s">
        <v>1708</v>
      </c>
      <c r="G1146" s="42"/>
      <c r="H1146" s="65">
        <f>SUM(H1142:H1145)</f>
        <v>14424.81</v>
      </c>
    </row>
    <row r="1147" spans="1:8" ht="18.75" customHeight="1">
      <c r="B1147" s="3" t="s">
        <v>1710</v>
      </c>
      <c r="F1147" s="42" t="s">
        <v>1689</v>
      </c>
      <c r="G1147" s="42"/>
      <c r="H1147" s="103">
        <f>FLOOR(H1146*0.15,0.01)</f>
        <v>2163.7200000000003</v>
      </c>
    </row>
    <row r="1148" spans="1:8" ht="18.75" customHeight="1">
      <c r="A1148"/>
      <c r="B1148" s="147">
        <f>+H1148</f>
        <v>16588.53</v>
      </c>
      <c r="C1148" s="28" t="s">
        <v>3384</v>
      </c>
      <c r="D1148" s="103">
        <f>INT(B1148/B1149*100)/100</f>
        <v>165.88</v>
      </c>
      <c r="E1148" s="1" t="s">
        <v>3385</v>
      </c>
      <c r="F1148" s="42" t="s">
        <v>1711</v>
      </c>
      <c r="G1148" s="42"/>
      <c r="H1148" s="103">
        <f>SUM(H1146:H1147)</f>
        <v>16588.53</v>
      </c>
    </row>
    <row r="1149" spans="1:8" ht="18.75" customHeight="1">
      <c r="B1149" s="121">
        <v>100</v>
      </c>
    </row>
    <row r="1150" spans="1:8" ht="18.75" customHeight="1">
      <c r="B1150" s="3"/>
    </row>
    <row r="1151" spans="1:8" ht="18.75" customHeight="1">
      <c r="B1151" s="3"/>
    </row>
    <row r="1152" spans="1:8">
      <c r="B1152" s="3"/>
    </row>
    <row r="1153" spans="1:8" ht="18.75" customHeight="1">
      <c r="A1153" s="110" t="s">
        <v>3474</v>
      </c>
      <c r="B1153" s="3"/>
    </row>
    <row r="1154" spans="1:8" ht="18.75" customHeight="1">
      <c r="A1154" s="110"/>
      <c r="B1154" s="966"/>
    </row>
    <row r="1155" spans="1:8" ht="18.75" customHeight="1">
      <c r="A1155" s="110"/>
      <c r="B1155" s="966"/>
    </row>
    <row r="1156" spans="1:8" ht="18.75" customHeight="1">
      <c r="A1156" s="110"/>
      <c r="B1156" s="1037"/>
    </row>
    <row r="1157" spans="1:8" ht="18.75" customHeight="1">
      <c r="A1157" s="110"/>
      <c r="B1157" s="1037"/>
    </row>
    <row r="1158" spans="1:8" ht="18.75" customHeight="1">
      <c r="A1158" s="110"/>
      <c r="B1158" s="1037"/>
    </row>
    <row r="1159" spans="1:8" ht="18.75" customHeight="1">
      <c r="A1159" s="110"/>
      <c r="B1159" s="966"/>
    </row>
    <row r="1160" spans="1:8" ht="18.75" customHeight="1">
      <c r="A1160" s="110"/>
      <c r="B1160" s="966"/>
    </row>
    <row r="1161" spans="1:8" ht="18.75" customHeight="1">
      <c r="B1161" s="3"/>
    </row>
    <row r="1162" spans="1:8" ht="18.75" customHeight="1">
      <c r="B1162" s="3"/>
    </row>
    <row r="1163" spans="1:8" ht="18.75" customHeight="1">
      <c r="A1163" s="282">
        <f>+A1137+1</f>
        <v>67</v>
      </c>
      <c r="B1163" s="1076" t="s">
        <v>3163</v>
      </c>
      <c r="C1163" s="1089"/>
      <c r="D1163" s="1089"/>
      <c r="E1163" s="1089"/>
      <c r="F1163" s="1089"/>
      <c r="G1163" s="1089"/>
      <c r="H1163" s="1089"/>
    </row>
    <row r="1164" spans="1:8" ht="19.5">
      <c r="A1164" s="688" t="s">
        <v>4389</v>
      </c>
      <c r="B1164" s="1076" t="s">
        <v>2370</v>
      </c>
      <c r="C1164" s="1089"/>
      <c r="D1164" s="1089"/>
      <c r="E1164" s="1089"/>
      <c r="F1164" s="1089"/>
      <c r="G1164" s="1089"/>
      <c r="H1164" s="1089"/>
    </row>
    <row r="1165" spans="1:8" ht="18.75" customHeight="1">
      <c r="B1165" s="1083" t="s">
        <v>3166</v>
      </c>
      <c r="C1165" s="1083"/>
      <c r="D1165" s="1083"/>
      <c r="E1165" s="1083"/>
      <c r="F1165" s="1083"/>
      <c r="G1165" s="1083"/>
      <c r="H1165" s="1083"/>
    </row>
    <row r="1166" spans="1:8" ht="31.5">
      <c r="B1166" s="70" t="s">
        <v>3340</v>
      </c>
      <c r="C1166" s="70" t="s">
        <v>3341</v>
      </c>
      <c r="D1166" s="70" t="s">
        <v>3342</v>
      </c>
      <c r="E1166" s="70" t="s">
        <v>3343</v>
      </c>
      <c r="F1166" s="70" t="s">
        <v>3344</v>
      </c>
      <c r="G1166" s="70" t="s">
        <v>3345</v>
      </c>
      <c r="H1166" s="70" t="s">
        <v>1704</v>
      </c>
    </row>
    <row r="1167" spans="1:8" ht="18.75" customHeight="1">
      <c r="B1167" s="1067" t="s">
        <v>1705</v>
      </c>
      <c r="C1167" s="60" t="s">
        <v>610</v>
      </c>
      <c r="D1167" s="50">
        <v>1</v>
      </c>
      <c r="E1167" s="57" t="s">
        <v>1707</v>
      </c>
      <c r="F1167" s="111">
        <f>'update Rate'!F5</f>
        <v>525</v>
      </c>
      <c r="G1167" s="111">
        <f>FLOOR(D1167*F1167,0.01)</f>
        <v>525</v>
      </c>
      <c r="H1167" s="112"/>
    </row>
    <row r="1168" spans="1:8" ht="18.75" customHeight="1">
      <c r="B1168" s="1070"/>
      <c r="C1168" s="55" t="s">
        <v>1647</v>
      </c>
      <c r="D1168" s="259">
        <v>1.75</v>
      </c>
      <c r="E1168" s="58" t="s">
        <v>1707</v>
      </c>
      <c r="F1168" s="113">
        <f>'update Rate'!F4</f>
        <v>375</v>
      </c>
      <c r="G1168" s="113">
        <f>FLOOR(D1168*F1168,0.01)</f>
        <v>656.25</v>
      </c>
      <c r="H1168" s="125">
        <f>SUM(G1167+G1168)</f>
        <v>1181.25</v>
      </c>
    </row>
    <row r="1169" spans="1:8" ht="18.75" customHeight="1">
      <c r="B1169" s="1069" t="s">
        <v>2330</v>
      </c>
      <c r="C1169" s="57" t="s">
        <v>3502</v>
      </c>
      <c r="D1169" s="258">
        <v>4.16</v>
      </c>
      <c r="E1169" s="57" t="s">
        <v>3170</v>
      </c>
      <c r="F1169" s="114">
        <f>jphalak</f>
        <v>1255.33</v>
      </c>
      <c r="G1169" s="114">
        <f>FLOOR(D1169*F1169,0.01)</f>
        <v>5222.17</v>
      </c>
      <c r="H1169" s="112"/>
    </row>
    <row r="1170" spans="1:8" ht="18.75" customHeight="1">
      <c r="B1170" s="1094"/>
      <c r="C1170" s="55" t="s">
        <v>3165</v>
      </c>
      <c r="D1170" s="1024">
        <v>0.2545</v>
      </c>
      <c r="E1170" s="55" t="s">
        <v>2530</v>
      </c>
      <c r="F1170" s="113">
        <f>'update Rate'!$F$54</f>
        <v>33721.050000000003</v>
      </c>
      <c r="G1170" s="113">
        <f>FLOOR(D1170*F1170,0.01)</f>
        <v>8582</v>
      </c>
      <c r="H1170" s="9"/>
    </row>
    <row r="1171" spans="1:8" ht="18.75" customHeight="1">
      <c r="B1171" s="1073"/>
      <c r="C1171" s="140" t="s">
        <v>1537</v>
      </c>
      <c r="D1171" s="45"/>
      <c r="E1171" s="58"/>
      <c r="F1171" s="65"/>
      <c r="G1171" s="65"/>
      <c r="H1171" s="127">
        <f>SUM(G1169+G1170)</f>
        <v>13804.17</v>
      </c>
    </row>
    <row r="1172" spans="1:8" ht="18.75" customHeight="1">
      <c r="F1172" s="42" t="s">
        <v>1708</v>
      </c>
      <c r="G1172" s="42"/>
      <c r="H1172" s="65">
        <f>SUM(H1168:H1171)</f>
        <v>14985.42</v>
      </c>
    </row>
    <row r="1173" spans="1:8" ht="15.75">
      <c r="B1173" s="3" t="s">
        <v>1710</v>
      </c>
      <c r="F1173" s="42" t="s">
        <v>1689</v>
      </c>
      <c r="G1173" s="42"/>
      <c r="H1173" s="103">
        <f>FLOOR(H1172*0.15,0.01)</f>
        <v>2247.81</v>
      </c>
    </row>
    <row r="1174" spans="1:8" ht="15.75">
      <c r="A1174"/>
      <c r="B1174" s="147">
        <f>+H1174</f>
        <v>17233.23</v>
      </c>
      <c r="C1174" s="28" t="s">
        <v>3384</v>
      </c>
      <c r="D1174" s="103">
        <f>INT(B1174/B1175*100)/100</f>
        <v>172.33</v>
      </c>
      <c r="E1174" s="1" t="s">
        <v>3385</v>
      </c>
      <c r="F1174" s="42" t="s">
        <v>1711</v>
      </c>
      <c r="G1174" s="42"/>
      <c r="H1174" s="103">
        <f>SUM(H1172:H1173)</f>
        <v>17233.23</v>
      </c>
    </row>
    <row r="1175" spans="1:8">
      <c r="B1175" s="121">
        <v>100</v>
      </c>
    </row>
    <row r="1176" spans="1:8" ht="12" customHeight="1">
      <c r="B1176" s="121"/>
    </row>
    <row r="1177" spans="1:8" ht="20.100000000000001" customHeight="1">
      <c r="A1177" s="755">
        <f>A1163+1</f>
        <v>68</v>
      </c>
      <c r="B1177" s="1125" t="s">
        <v>1608</v>
      </c>
      <c r="C1177" s="1126"/>
      <c r="D1177" s="1126"/>
      <c r="E1177" s="1126"/>
      <c r="F1177" s="1126"/>
      <c r="G1177" s="1126"/>
      <c r="H1177" s="1126"/>
    </row>
    <row r="1178" spans="1:8" ht="20.100000000000001" customHeight="1">
      <c r="A1178" s="791" t="s">
        <v>4071</v>
      </c>
      <c r="B1178" s="1100" t="s">
        <v>2773</v>
      </c>
      <c r="C1178" s="1083"/>
      <c r="D1178" s="1083"/>
      <c r="E1178" s="1083"/>
      <c r="F1178" s="1083"/>
      <c r="G1178" s="1083"/>
      <c r="H1178" s="1083"/>
    </row>
    <row r="1179" spans="1:8" ht="33" customHeight="1">
      <c r="B1179" s="4" t="s">
        <v>3340</v>
      </c>
      <c r="C1179" s="4" t="s">
        <v>3341</v>
      </c>
      <c r="D1179" s="4" t="s">
        <v>3342</v>
      </c>
      <c r="E1179" s="4" t="s">
        <v>3343</v>
      </c>
      <c r="F1179" s="4" t="s">
        <v>3344</v>
      </c>
      <c r="G1179" s="4" t="s">
        <v>3345</v>
      </c>
      <c r="H1179" s="4" t="s">
        <v>1704</v>
      </c>
    </row>
    <row r="1180" spans="1:8" ht="20.100000000000001" customHeight="1">
      <c r="B1180" s="1142" t="s">
        <v>1705</v>
      </c>
      <c r="C1180" s="14" t="s">
        <v>610</v>
      </c>
      <c r="D1180" s="43">
        <v>1.1000000000000001</v>
      </c>
      <c r="E1180" s="11" t="s">
        <v>1707</v>
      </c>
      <c r="F1180" s="173">
        <f>'update Rate'!F5</f>
        <v>525</v>
      </c>
      <c r="G1180" s="173">
        <f t="shared" ref="G1180:G1185" si="36">FLOOR(D1180*F1180,0.01)</f>
        <v>577.5</v>
      </c>
      <c r="H1180" s="112"/>
    </row>
    <row r="1181" spans="1:8" ht="20.100000000000001" customHeight="1">
      <c r="B1181" s="1144"/>
      <c r="C1181" s="15" t="s">
        <v>1647</v>
      </c>
      <c r="D1181" s="266">
        <v>1.25</v>
      </c>
      <c r="E1181" s="15" t="s">
        <v>1707</v>
      </c>
      <c r="F1181" s="176">
        <f>'update Rate'!F4</f>
        <v>375</v>
      </c>
      <c r="G1181" s="176">
        <f t="shared" si="36"/>
        <v>468.75</v>
      </c>
      <c r="H1181" s="180">
        <f>SUM(G1180+G1181)</f>
        <v>1046.25</v>
      </c>
    </row>
    <row r="1182" spans="1:8" ht="16.5">
      <c r="B1182" s="1127" t="s">
        <v>2330</v>
      </c>
      <c r="C1182" s="181" t="s">
        <v>1267</v>
      </c>
      <c r="D1182" s="44">
        <v>12</v>
      </c>
      <c r="E1182" s="12" t="s">
        <v>3170</v>
      </c>
      <c r="F1182" s="174">
        <f>+_cgi24</f>
        <v>457.59</v>
      </c>
      <c r="G1182" s="174">
        <f t="shared" si="36"/>
        <v>5491.08</v>
      </c>
      <c r="H1182" s="177"/>
    </row>
    <row r="1183" spans="1:8" ht="16.5">
      <c r="B1183" s="1095"/>
      <c r="C1183" s="12" t="s">
        <v>3167</v>
      </c>
      <c r="D1183" s="44">
        <v>30</v>
      </c>
      <c r="E1183" s="12" t="s">
        <v>803</v>
      </c>
      <c r="F1183" s="174">
        <f>'update Rate'!F123</f>
        <v>23</v>
      </c>
      <c r="G1183" s="174">
        <f t="shared" si="36"/>
        <v>690</v>
      </c>
      <c r="H1183" s="179"/>
    </row>
    <row r="1184" spans="1:8" ht="20.100000000000001" customHeight="1">
      <c r="B1184" s="1095"/>
      <c r="C1184" s="12" t="s">
        <v>3168</v>
      </c>
      <c r="D1184" s="44">
        <v>25</v>
      </c>
      <c r="E1184" s="12" t="s">
        <v>803</v>
      </c>
      <c r="F1184" s="174">
        <f>'update Rate'!$F$125</f>
        <v>7.85</v>
      </c>
      <c r="G1184" s="174">
        <f t="shared" si="36"/>
        <v>196.25</v>
      </c>
      <c r="H1184" s="179"/>
    </row>
    <row r="1185" spans="1:8" ht="20.100000000000001" customHeight="1">
      <c r="B1185" s="1070"/>
      <c r="C1185" s="15" t="s">
        <v>3169</v>
      </c>
      <c r="D1185" s="45">
        <v>55</v>
      </c>
      <c r="E1185" s="15" t="s">
        <v>803</v>
      </c>
      <c r="F1185" s="176">
        <f>'update Rate'!$F$126</f>
        <v>3</v>
      </c>
      <c r="G1185" s="176">
        <f t="shared" si="36"/>
        <v>165</v>
      </c>
      <c r="H1185" s="180">
        <f>SUM(G1182+G1183+G1184+G1185)</f>
        <v>6542.33</v>
      </c>
    </row>
    <row r="1186" spans="1:8" ht="20.100000000000001" customHeight="1">
      <c r="F1186" s="1" t="s">
        <v>1708</v>
      </c>
      <c r="G1186" s="42"/>
      <c r="H1186" s="176">
        <f>SUM(H1181:H1185)</f>
        <v>7588.58</v>
      </c>
    </row>
    <row r="1187" spans="1:8" ht="20.100000000000001" customHeight="1">
      <c r="B1187" s="3" t="s">
        <v>1710</v>
      </c>
      <c r="F1187" s="1" t="s">
        <v>1689</v>
      </c>
      <c r="G1187" s="42"/>
      <c r="H1187" s="103">
        <f>FLOOR(H1186*0.15,0.01)</f>
        <v>1138.28</v>
      </c>
    </row>
    <row r="1188" spans="1:8" ht="20.100000000000001" customHeight="1">
      <c r="A1188" s="28"/>
      <c r="B1188" s="160">
        <f>+H1188</f>
        <v>8726.86</v>
      </c>
      <c r="C1188" s="28" t="s">
        <v>3384</v>
      </c>
      <c r="D1188" s="7">
        <f>INT(B1188/B1189*100)/100</f>
        <v>872.68</v>
      </c>
      <c r="E1188" s="1" t="s">
        <v>3385</v>
      </c>
      <c r="F1188" s="1" t="s">
        <v>1711</v>
      </c>
      <c r="G1188" s="42"/>
      <c r="H1188" s="7">
        <f>SUM(H1186:H1187)</f>
        <v>8726.86</v>
      </c>
    </row>
    <row r="1189" spans="1:8" ht="20.100000000000001" customHeight="1">
      <c r="B1189" s="182">
        <v>10</v>
      </c>
    </row>
    <row r="1190" spans="1:8">
      <c r="A1190" s="110" t="s">
        <v>3303</v>
      </c>
    </row>
    <row r="1191" spans="1:8">
      <c r="A1191" s="110"/>
    </row>
    <row r="1193" spans="1:8" ht="20.100000000000001" customHeight="1">
      <c r="A1193" s="755">
        <f>A1177+1</f>
        <v>69</v>
      </c>
      <c r="B1193" s="1125" t="s">
        <v>3798</v>
      </c>
      <c r="C1193" s="1126"/>
      <c r="D1193" s="1126"/>
      <c r="E1193" s="1126"/>
      <c r="F1193" s="1126"/>
      <c r="G1193" s="1126"/>
      <c r="H1193" s="1126"/>
    </row>
    <row r="1194" spans="1:8" ht="20.100000000000001" customHeight="1">
      <c r="A1194" s="791" t="s">
        <v>4071</v>
      </c>
      <c r="B1194" s="1100" t="s">
        <v>2773</v>
      </c>
      <c r="C1194" s="1083"/>
      <c r="D1194" s="1083"/>
      <c r="E1194" s="1083"/>
      <c r="F1194" s="1083"/>
      <c r="G1194" s="1083"/>
      <c r="H1194" s="1083"/>
    </row>
    <row r="1195" spans="1:8" ht="33" customHeight="1">
      <c r="B1195" s="4" t="s">
        <v>3340</v>
      </c>
      <c r="C1195" s="4" t="s">
        <v>3341</v>
      </c>
      <c r="D1195" s="4" t="s">
        <v>3342</v>
      </c>
      <c r="E1195" s="4" t="s">
        <v>3343</v>
      </c>
      <c r="F1195" s="4" t="s">
        <v>3344</v>
      </c>
      <c r="G1195" s="4" t="s">
        <v>3345</v>
      </c>
      <c r="H1195" s="4" t="s">
        <v>1704</v>
      </c>
    </row>
    <row r="1196" spans="1:8" ht="20.100000000000001" customHeight="1">
      <c r="B1196" s="1142" t="s">
        <v>1705</v>
      </c>
      <c r="C1196" s="701" t="s">
        <v>610</v>
      </c>
      <c r="D1196" s="43">
        <v>1.1000000000000001</v>
      </c>
      <c r="E1196" s="11" t="s">
        <v>1707</v>
      </c>
      <c r="F1196" s="173">
        <f>'update Rate'!F5</f>
        <v>525</v>
      </c>
      <c r="G1196" s="173">
        <f t="shared" ref="G1196:G1201" si="37">FLOOR(D1196*F1196,0.01)</f>
        <v>577.5</v>
      </c>
      <c r="H1196" s="698"/>
    </row>
    <row r="1197" spans="1:8" ht="20.100000000000001" customHeight="1">
      <c r="B1197" s="1144"/>
      <c r="C1197" s="15" t="s">
        <v>1647</v>
      </c>
      <c r="D1197" s="266">
        <v>1.25</v>
      </c>
      <c r="E1197" s="15" t="s">
        <v>1707</v>
      </c>
      <c r="F1197" s="176">
        <f>'update Rate'!F4</f>
        <v>375</v>
      </c>
      <c r="G1197" s="176">
        <f t="shared" si="37"/>
        <v>468.75</v>
      </c>
      <c r="H1197" s="180">
        <f>SUM(G1196+G1197)</f>
        <v>1046.25</v>
      </c>
    </row>
    <row r="1198" spans="1:8" ht="16.5">
      <c r="B1198" s="1127" t="s">
        <v>2330</v>
      </c>
      <c r="C1198" s="181" t="s">
        <v>3799</v>
      </c>
      <c r="D1198" s="44">
        <v>12</v>
      </c>
      <c r="E1198" s="12" t="s">
        <v>3170</v>
      </c>
      <c r="F1198" s="174">
        <f>+'update Rate'!F93</f>
        <v>417.43</v>
      </c>
      <c r="G1198" s="174">
        <f t="shared" si="37"/>
        <v>5009.16</v>
      </c>
      <c r="H1198" s="177"/>
    </row>
    <row r="1199" spans="1:8" ht="16.5">
      <c r="B1199" s="1095"/>
      <c r="C1199" s="12" t="s">
        <v>3167</v>
      </c>
      <c r="D1199" s="44">
        <v>30</v>
      </c>
      <c r="E1199" s="12" t="s">
        <v>803</v>
      </c>
      <c r="F1199" s="174">
        <f>'update Rate'!F123</f>
        <v>23</v>
      </c>
      <c r="G1199" s="174">
        <f t="shared" si="37"/>
        <v>690</v>
      </c>
      <c r="H1199" s="179"/>
    </row>
    <row r="1200" spans="1:8" ht="20.100000000000001" customHeight="1">
      <c r="B1200" s="1095"/>
      <c r="C1200" s="12" t="s">
        <v>3168</v>
      </c>
      <c r="D1200" s="44">
        <v>25</v>
      </c>
      <c r="E1200" s="12" t="s">
        <v>803</v>
      </c>
      <c r="F1200" s="174">
        <f>'update Rate'!$F$125</f>
        <v>7.85</v>
      </c>
      <c r="G1200" s="174">
        <f t="shared" si="37"/>
        <v>196.25</v>
      </c>
      <c r="H1200" s="179"/>
    </row>
    <row r="1201" spans="1:8" ht="20.100000000000001" customHeight="1">
      <c r="B1201" s="1070"/>
      <c r="C1201" s="15" t="s">
        <v>3169</v>
      </c>
      <c r="D1201" s="45">
        <v>55</v>
      </c>
      <c r="E1201" s="15" t="s">
        <v>803</v>
      </c>
      <c r="F1201" s="176">
        <f>'update Rate'!$F$126</f>
        <v>3</v>
      </c>
      <c r="G1201" s="176">
        <f t="shared" si="37"/>
        <v>165</v>
      </c>
      <c r="H1201" s="180">
        <f>SUM(G1198+G1199+G1200+G1201)</f>
        <v>6060.41</v>
      </c>
    </row>
    <row r="1202" spans="1:8" ht="20.100000000000001" customHeight="1">
      <c r="F1202" s="1" t="s">
        <v>1708</v>
      </c>
      <c r="G1202" s="42"/>
      <c r="H1202" s="176">
        <f>SUM(H1197:H1201)</f>
        <v>7106.66</v>
      </c>
    </row>
    <row r="1203" spans="1:8" ht="20.100000000000001" customHeight="1">
      <c r="B1203" s="3" t="s">
        <v>1710</v>
      </c>
      <c r="F1203" s="1" t="s">
        <v>1689</v>
      </c>
      <c r="G1203" s="42"/>
      <c r="H1203" s="103">
        <f>FLOOR(H1202*0.15,0.01)</f>
        <v>1065.99</v>
      </c>
    </row>
    <row r="1204" spans="1:8" ht="20.100000000000001" customHeight="1">
      <c r="A1204" s="28"/>
      <c r="B1204" s="160">
        <f>+H1204</f>
        <v>8172.65</v>
      </c>
      <c r="C1204" s="28" t="s">
        <v>3384</v>
      </c>
      <c r="D1204" s="7">
        <f>INT(B1204/B1205*100)/100</f>
        <v>817.26</v>
      </c>
      <c r="E1204" s="1" t="s">
        <v>3385</v>
      </c>
      <c r="F1204" s="1" t="s">
        <v>1711</v>
      </c>
      <c r="G1204" s="42"/>
      <c r="H1204" s="7">
        <f>SUM(H1202:H1203)</f>
        <v>8172.65</v>
      </c>
    </row>
    <row r="1205" spans="1:8" ht="20.100000000000001" customHeight="1">
      <c r="B1205" s="182">
        <v>10</v>
      </c>
    </row>
    <row r="1206" spans="1:8">
      <c r="A1206" s="110" t="s">
        <v>3303</v>
      </c>
    </row>
    <row r="1207" spans="1:8">
      <c r="A1207" s="110"/>
    </row>
    <row r="1208" spans="1:8">
      <c r="A1208" s="110"/>
    </row>
    <row r="1209" spans="1:8">
      <c r="A1209" s="110"/>
    </row>
    <row r="1210" spans="1:8" ht="15.75">
      <c r="A1210" s="755">
        <f>A1193+1</f>
        <v>70</v>
      </c>
      <c r="B1210" s="1125" t="s">
        <v>1331</v>
      </c>
      <c r="C1210" s="1126"/>
      <c r="D1210" s="1126"/>
      <c r="E1210" s="1126"/>
      <c r="F1210" s="1126"/>
      <c r="G1210" s="1126"/>
      <c r="H1210" s="1126"/>
    </row>
    <row r="1211" spans="1:8" ht="15.75">
      <c r="A1211" s="688" t="s">
        <v>4071</v>
      </c>
      <c r="B1211" s="1100" t="s">
        <v>2773</v>
      </c>
      <c r="C1211" s="1083"/>
      <c r="D1211" s="1083"/>
      <c r="E1211" s="1083"/>
      <c r="F1211" s="1083"/>
      <c r="G1211" s="1083"/>
      <c r="H1211" s="1083"/>
    </row>
    <row r="1212" spans="1:8" ht="30">
      <c r="B1212" s="4" t="s">
        <v>3340</v>
      </c>
      <c r="C1212" s="4" t="s">
        <v>3341</v>
      </c>
      <c r="D1212" s="4" t="s">
        <v>3342</v>
      </c>
      <c r="E1212" s="4" t="s">
        <v>3343</v>
      </c>
      <c r="F1212" s="4" t="s">
        <v>3344</v>
      </c>
      <c r="G1212" s="4" t="s">
        <v>3345</v>
      </c>
      <c r="H1212" s="4" t="s">
        <v>1704</v>
      </c>
    </row>
    <row r="1213" spans="1:8" ht="16.5">
      <c r="B1213" s="1142" t="s">
        <v>1705</v>
      </c>
      <c r="C1213" s="14" t="s">
        <v>610</v>
      </c>
      <c r="D1213" s="43">
        <v>1.1000000000000001</v>
      </c>
      <c r="E1213" s="11" t="s">
        <v>1707</v>
      </c>
      <c r="F1213" s="173">
        <f>'update Rate'!F5</f>
        <v>525</v>
      </c>
      <c r="G1213" s="173">
        <f t="shared" ref="G1213:G1218" si="38">FLOOR(D1213*F1213,0.01)</f>
        <v>577.5</v>
      </c>
      <c r="H1213" s="112"/>
    </row>
    <row r="1214" spans="1:8" ht="16.5">
      <c r="B1214" s="1144"/>
      <c r="C1214" s="15" t="s">
        <v>1647</v>
      </c>
      <c r="D1214" s="266">
        <v>1.25</v>
      </c>
      <c r="E1214" s="15" t="s">
        <v>1707</v>
      </c>
      <c r="F1214" s="176">
        <f>'update Rate'!F4</f>
        <v>375</v>
      </c>
      <c r="G1214" s="176">
        <f t="shared" si="38"/>
        <v>468.75</v>
      </c>
      <c r="H1214" s="180">
        <f>SUM(G1213+G1214)</f>
        <v>1046.25</v>
      </c>
    </row>
    <row r="1215" spans="1:8" ht="16.5">
      <c r="B1215" s="1127" t="s">
        <v>2330</v>
      </c>
      <c r="C1215" s="181" t="s">
        <v>2555</v>
      </c>
      <c r="D1215" s="44">
        <v>12</v>
      </c>
      <c r="E1215" s="12" t="s">
        <v>3170</v>
      </c>
      <c r="F1215" s="174">
        <f>+_cgi26</f>
        <v>381.8</v>
      </c>
      <c r="G1215" s="174">
        <f t="shared" si="38"/>
        <v>4581.6000000000004</v>
      </c>
      <c r="H1215" s="177"/>
    </row>
    <row r="1216" spans="1:8" ht="16.5">
      <c r="B1216" s="1095"/>
      <c r="C1216" s="12" t="s">
        <v>3287</v>
      </c>
      <c r="D1216" s="44">
        <v>30</v>
      </c>
      <c r="E1216" s="12" t="s">
        <v>803</v>
      </c>
      <c r="F1216" s="174">
        <f>'update Rate'!F123</f>
        <v>23</v>
      </c>
      <c r="G1216" s="174">
        <f t="shared" si="38"/>
        <v>690</v>
      </c>
      <c r="H1216" s="179"/>
    </row>
    <row r="1217" spans="1:8" ht="15.95" customHeight="1">
      <c r="B1217" s="1095"/>
      <c r="C1217" s="12" t="s">
        <v>3168</v>
      </c>
      <c r="D1217" s="44">
        <v>25</v>
      </c>
      <c r="E1217" s="12" t="s">
        <v>803</v>
      </c>
      <c r="F1217" s="174">
        <f>'update Rate'!$F$125</f>
        <v>7.85</v>
      </c>
      <c r="G1217" s="174">
        <f t="shared" si="38"/>
        <v>196.25</v>
      </c>
      <c r="H1217" s="179"/>
    </row>
    <row r="1218" spans="1:8" ht="15.95" customHeight="1">
      <c r="B1218" s="1070"/>
      <c r="C1218" s="15" t="s">
        <v>3169</v>
      </c>
      <c r="D1218" s="45">
        <v>55</v>
      </c>
      <c r="E1218" s="15" t="s">
        <v>803</v>
      </c>
      <c r="F1218" s="176">
        <f>'update Rate'!$F$126</f>
        <v>3</v>
      </c>
      <c r="G1218" s="176">
        <f t="shared" si="38"/>
        <v>165</v>
      </c>
      <c r="H1218" s="180">
        <f>SUM(G1215+G1216+G1217+G1218)</f>
        <v>5632.85</v>
      </c>
    </row>
    <row r="1219" spans="1:8" ht="15.75">
      <c r="F1219" s="1" t="s">
        <v>1708</v>
      </c>
      <c r="G1219" s="42"/>
      <c r="H1219" s="176">
        <f>SUM(H1214:H1218)</f>
        <v>6679.1</v>
      </c>
    </row>
    <row r="1220" spans="1:8" ht="15.75">
      <c r="B1220" s="3" t="s">
        <v>1710</v>
      </c>
      <c r="F1220" s="1" t="s">
        <v>1689</v>
      </c>
      <c r="G1220" s="42"/>
      <c r="H1220" s="103">
        <f>FLOOR(H1219*0.15,0.01)</f>
        <v>1001.86</v>
      </c>
    </row>
    <row r="1221" spans="1:8" ht="15.75">
      <c r="A1221" s="28"/>
      <c r="B1221" s="160">
        <f>+H1221</f>
        <v>7680.96</v>
      </c>
      <c r="C1221" s="28" t="s">
        <v>3384</v>
      </c>
      <c r="D1221" s="7">
        <f>INT(B1221/B1222*100)/100</f>
        <v>768.09</v>
      </c>
      <c r="E1221" s="1" t="s">
        <v>3385</v>
      </c>
      <c r="F1221" s="1" t="s">
        <v>1711</v>
      </c>
      <c r="G1221" s="42"/>
      <c r="H1221" s="7">
        <f>SUM(H1219:H1220)</f>
        <v>7680.96</v>
      </c>
    </row>
    <row r="1222" spans="1:8" ht="18.75" customHeight="1">
      <c r="B1222" s="182">
        <v>10</v>
      </c>
    </row>
    <row r="1223" spans="1:8" ht="9" customHeight="1">
      <c r="B1223" s="182"/>
    </row>
    <row r="1224" spans="1:8" ht="18" outlineLevel="1">
      <c r="A1224" s="32"/>
      <c r="B1224" s="1088" t="s">
        <v>3800</v>
      </c>
      <c r="C1224" s="1088"/>
      <c r="D1224" s="1088"/>
      <c r="E1224" s="1088"/>
      <c r="F1224" s="1088"/>
      <c r="G1224" s="1088"/>
      <c r="H1224" s="1088"/>
    </row>
    <row r="1225" spans="1:8" ht="18" outlineLevel="1">
      <c r="A1225" s="755">
        <f>A1210+1</f>
        <v>71</v>
      </c>
      <c r="B1225" s="1088" t="s">
        <v>2627</v>
      </c>
      <c r="C1225" s="1088"/>
      <c r="D1225" s="1088"/>
      <c r="E1225" s="1088"/>
      <c r="F1225" s="1088"/>
      <c r="G1225" s="1088"/>
      <c r="H1225" s="1088"/>
    </row>
    <row r="1226" spans="1:8" ht="15.75" outlineLevel="1">
      <c r="A1226" s="688" t="s">
        <v>4390</v>
      </c>
      <c r="B1226" s="1100" t="s">
        <v>653</v>
      </c>
      <c r="C1226" s="1083"/>
      <c r="D1226" s="1083"/>
      <c r="E1226" s="1083"/>
      <c r="F1226" s="1083"/>
      <c r="G1226" s="1083"/>
      <c r="H1226" s="1083"/>
    </row>
    <row r="1227" spans="1:8" ht="30" outlineLevel="1">
      <c r="B1227" s="4" t="s">
        <v>3340</v>
      </c>
      <c r="C1227" s="4" t="s">
        <v>3341</v>
      </c>
      <c r="D1227" s="4" t="s">
        <v>3342</v>
      </c>
      <c r="E1227" s="4" t="s">
        <v>3343</v>
      </c>
      <c r="F1227" s="4" t="s">
        <v>3344</v>
      </c>
      <c r="G1227" s="4" t="s">
        <v>3345</v>
      </c>
      <c r="H1227" s="4" t="s">
        <v>1704</v>
      </c>
    </row>
    <row r="1228" spans="1:8" ht="16.5" outlineLevel="1">
      <c r="B1228" s="1142" t="s">
        <v>1705</v>
      </c>
      <c r="C1228" s="701" t="s">
        <v>610</v>
      </c>
      <c r="D1228" s="43">
        <v>2</v>
      </c>
      <c r="E1228" s="183" t="s">
        <v>1707</v>
      </c>
      <c r="F1228" s="175">
        <f>'update Rate'!F5</f>
        <v>525</v>
      </c>
      <c r="G1228" s="173">
        <f>FLOOR(D1228*F1228,0.01)</f>
        <v>1050</v>
      </c>
      <c r="H1228" s="178"/>
    </row>
    <row r="1229" spans="1:8" ht="20.100000000000001" customHeight="1" outlineLevel="1">
      <c r="B1229" s="1143"/>
      <c r="C1229" s="12" t="s">
        <v>1647</v>
      </c>
      <c r="D1229" s="44">
        <v>3</v>
      </c>
      <c r="E1229" s="184" t="s">
        <v>1707</v>
      </c>
      <c r="F1229" s="176">
        <f>'update Rate'!F4</f>
        <v>375</v>
      </c>
      <c r="G1229" s="176">
        <f>FLOOR(D1229*F1229,0.01)</f>
        <v>1125</v>
      </c>
      <c r="H1229" s="180">
        <f>SUM(G1228+G1229)</f>
        <v>2175</v>
      </c>
    </row>
    <row r="1230" spans="1:8" ht="21.75" customHeight="1" outlineLevel="1">
      <c r="B1230" s="1127" t="s">
        <v>2330</v>
      </c>
      <c r="C1230" s="11" t="s">
        <v>2980</v>
      </c>
      <c r="D1230" s="43">
        <v>12</v>
      </c>
      <c r="E1230" s="183" t="s">
        <v>3172</v>
      </c>
      <c r="F1230" s="175">
        <f>+'update Rate'!F97</f>
        <v>246.36</v>
      </c>
      <c r="G1230" s="175">
        <f>FLOOR(D1230*F1230,0.01)</f>
        <v>2956.32</v>
      </c>
      <c r="H1230" s="178"/>
    </row>
    <row r="1231" spans="1:8" ht="20.100000000000001" customHeight="1" outlineLevel="1">
      <c r="B1231" s="1128"/>
      <c r="C1231" s="456" t="s">
        <v>2495</v>
      </c>
      <c r="D1231" s="943" t="s">
        <v>3171</v>
      </c>
      <c r="E1231" s="184" t="s">
        <v>3173</v>
      </c>
      <c r="F1231" s="184" t="s">
        <v>3173</v>
      </c>
      <c r="G1231" s="176">
        <v>70</v>
      </c>
      <c r="H1231" s="180">
        <f>SUM(G1230:G1231)</f>
        <v>3026.32</v>
      </c>
    </row>
    <row r="1232" spans="1:8" ht="20.100000000000001" customHeight="1" outlineLevel="1">
      <c r="B1232" s="1" t="s">
        <v>1538</v>
      </c>
      <c r="F1232" s="1" t="s">
        <v>1708</v>
      </c>
      <c r="G1232" s="42"/>
      <c r="H1232" s="176">
        <f>SUM(H1229:H1231)</f>
        <v>5201.32</v>
      </c>
    </row>
    <row r="1233" spans="1:8" ht="15.75" outlineLevel="1">
      <c r="B1233" s="160">
        <f>+H1234</f>
        <v>5981.51</v>
      </c>
      <c r="C1233" s="28" t="s">
        <v>3384</v>
      </c>
      <c r="D1233" s="7">
        <f>INT(B1233/B1234*100)/100</f>
        <v>598.15</v>
      </c>
      <c r="E1233" s="1" t="s">
        <v>3385</v>
      </c>
      <c r="F1233" s="1" t="s">
        <v>1689</v>
      </c>
      <c r="G1233" s="42"/>
      <c r="H1233" s="103">
        <f>FLOOR(H1232*0.15,0.01)</f>
        <v>780.19</v>
      </c>
    </row>
    <row r="1234" spans="1:8" ht="15.75" outlineLevel="1">
      <c r="A1234"/>
      <c r="B1234" s="185">
        <v>10</v>
      </c>
      <c r="F1234" s="1" t="s">
        <v>1711</v>
      </c>
      <c r="G1234" s="42"/>
      <c r="H1234" s="6">
        <f>SUM(H1232:H1233)</f>
        <v>5981.51</v>
      </c>
    </row>
    <row r="1235" spans="1:8" outlineLevel="1">
      <c r="B1235" s="110" t="s">
        <v>1710</v>
      </c>
    </row>
    <row r="1236" spans="1:8" outlineLevel="1">
      <c r="B1236" s="160">
        <f>+H1234</f>
        <v>5981.51</v>
      </c>
      <c r="C1236" s="28" t="s">
        <v>3384</v>
      </c>
      <c r="D1236" s="7">
        <f>INT(B1236/B1237*100)/100</f>
        <v>996.91</v>
      </c>
      <c r="E1236" s="1" t="s">
        <v>3385</v>
      </c>
    </row>
    <row r="1237" spans="1:8" ht="16.5" outlineLevel="1">
      <c r="B1237" s="756">
        <v>6</v>
      </c>
    </row>
    <row r="1238" spans="1:8" outlineLevel="1">
      <c r="A1238" s="110" t="s">
        <v>3117</v>
      </c>
      <c r="D1238" s="172" t="s">
        <v>1116</v>
      </c>
    </row>
    <row r="1239" spans="1:8" outlineLevel="1">
      <c r="A1239" s="110"/>
      <c r="D1239" s="172"/>
    </row>
    <row r="1240" spans="1:8" outlineLevel="1">
      <c r="A1240" s="110"/>
      <c r="D1240" s="172"/>
    </row>
    <row r="1241" spans="1:8" outlineLevel="1">
      <c r="A1241" s="110"/>
      <c r="D1241" s="172"/>
    </row>
    <row r="1242" spans="1:8" ht="18" outlineLevel="1">
      <c r="A1242" s="32"/>
      <c r="B1242" s="1088" t="s">
        <v>3801</v>
      </c>
      <c r="C1242" s="1088"/>
      <c r="D1242" s="1088"/>
      <c r="E1242" s="1088"/>
      <c r="F1242" s="1088"/>
      <c r="G1242" s="1088"/>
      <c r="H1242" s="1088"/>
    </row>
    <row r="1243" spans="1:8" ht="18" outlineLevel="1">
      <c r="A1243" s="755">
        <f>A1225+1</f>
        <v>72</v>
      </c>
      <c r="B1243" s="1088" t="s">
        <v>2627</v>
      </c>
      <c r="C1243" s="1088"/>
      <c r="D1243" s="1088"/>
      <c r="E1243" s="1088"/>
      <c r="F1243" s="1088"/>
      <c r="G1243" s="1088"/>
      <c r="H1243" s="1088"/>
    </row>
    <row r="1244" spans="1:8" ht="15.75" outlineLevel="1">
      <c r="A1244" s="688" t="s">
        <v>4390</v>
      </c>
      <c r="B1244" s="1100" t="s">
        <v>653</v>
      </c>
      <c r="C1244" s="1083"/>
      <c r="D1244" s="1083"/>
      <c r="E1244" s="1083"/>
      <c r="F1244" s="1083"/>
      <c r="G1244" s="1083"/>
      <c r="H1244" s="1083"/>
    </row>
    <row r="1245" spans="1:8" ht="30" outlineLevel="1">
      <c r="B1245" s="4" t="s">
        <v>3340</v>
      </c>
      <c r="C1245" s="4" t="s">
        <v>3341</v>
      </c>
      <c r="D1245" s="4" t="s">
        <v>3342</v>
      </c>
      <c r="E1245" s="4" t="s">
        <v>3343</v>
      </c>
      <c r="F1245" s="4" t="s">
        <v>3344</v>
      </c>
      <c r="G1245" s="4" t="s">
        <v>3345</v>
      </c>
      <c r="H1245" s="4" t="s">
        <v>1704</v>
      </c>
    </row>
    <row r="1246" spans="1:8" ht="16.5" outlineLevel="1">
      <c r="B1246" s="1142" t="s">
        <v>1705</v>
      </c>
      <c r="C1246" s="701" t="s">
        <v>610</v>
      </c>
      <c r="D1246" s="43">
        <v>2</v>
      </c>
      <c r="E1246" s="183" t="s">
        <v>1707</v>
      </c>
      <c r="F1246" s="175">
        <f>'update Rate'!F5</f>
        <v>525</v>
      </c>
      <c r="G1246" s="173">
        <f>FLOOR(D1246*F1246,0.01)</f>
        <v>1050</v>
      </c>
      <c r="H1246" s="178"/>
    </row>
    <row r="1247" spans="1:8" ht="20.100000000000001" customHeight="1" outlineLevel="1">
      <c r="B1247" s="1143"/>
      <c r="C1247" s="12" t="s">
        <v>1647</v>
      </c>
      <c r="D1247" s="44">
        <v>3</v>
      </c>
      <c r="E1247" s="184" t="s">
        <v>1707</v>
      </c>
      <c r="F1247" s="176">
        <f>'update Rate'!F4</f>
        <v>375</v>
      </c>
      <c r="G1247" s="176">
        <f>FLOOR(D1247*F1247,0.01)</f>
        <v>1125</v>
      </c>
      <c r="H1247" s="180">
        <f>SUM(G1246+G1247)</f>
        <v>2175</v>
      </c>
    </row>
    <row r="1248" spans="1:8" ht="21.75" customHeight="1" outlineLevel="1">
      <c r="B1248" s="1127" t="s">
        <v>2330</v>
      </c>
      <c r="C1248" s="11" t="s">
        <v>4315</v>
      </c>
      <c r="D1248" s="43">
        <v>12</v>
      </c>
      <c r="E1248" s="183" t="s">
        <v>3172</v>
      </c>
      <c r="F1248" s="175">
        <f>+'update Rate'!F99</f>
        <v>224.04</v>
      </c>
      <c r="G1248" s="175">
        <f>FLOOR(D1248*F1248,0.01)</f>
        <v>2688.48</v>
      </c>
      <c r="H1248" s="178"/>
    </row>
    <row r="1249" spans="1:8" ht="20.100000000000001" customHeight="1" outlineLevel="1">
      <c r="B1249" s="1128"/>
      <c r="C1249" s="15" t="s">
        <v>2495</v>
      </c>
      <c r="D1249" s="1025" t="s">
        <v>3171</v>
      </c>
      <c r="E1249" s="184" t="s">
        <v>3173</v>
      </c>
      <c r="F1249" s="184" t="s">
        <v>3173</v>
      </c>
      <c r="G1249" s="176">
        <v>70</v>
      </c>
      <c r="H1249" s="180">
        <f>SUM(G1248:G1249)</f>
        <v>2758.48</v>
      </c>
    </row>
    <row r="1250" spans="1:8" ht="20.100000000000001" customHeight="1" outlineLevel="1">
      <c r="B1250" s="1" t="s">
        <v>1538</v>
      </c>
      <c r="F1250" s="1" t="s">
        <v>1708</v>
      </c>
      <c r="G1250" s="42"/>
      <c r="H1250" s="176">
        <f>SUM(H1247:H1249)</f>
        <v>4933.4799999999996</v>
      </c>
    </row>
    <row r="1251" spans="1:8" ht="15.75" outlineLevel="1">
      <c r="B1251" s="160">
        <f>+H1252</f>
        <v>5673.5</v>
      </c>
      <c r="C1251" s="28" t="s">
        <v>3384</v>
      </c>
      <c r="D1251" s="7">
        <f>INT(B1251/B1252*100)/100</f>
        <v>567.35</v>
      </c>
      <c r="E1251" s="1" t="s">
        <v>3385</v>
      </c>
      <c r="F1251" s="1" t="s">
        <v>1689</v>
      </c>
      <c r="G1251" s="42"/>
      <c r="H1251" s="103">
        <f>FLOOR(H1250*0.15,0.01)</f>
        <v>740.02</v>
      </c>
    </row>
    <row r="1252" spans="1:8" ht="15.75" outlineLevel="1">
      <c r="A1252"/>
      <c r="B1252" s="185">
        <v>10</v>
      </c>
      <c r="F1252" s="1" t="s">
        <v>1711</v>
      </c>
      <c r="G1252" s="42"/>
      <c r="H1252" s="6">
        <f>SUM(H1250:H1251)</f>
        <v>5673.5</v>
      </c>
    </row>
    <row r="1253" spans="1:8" outlineLevel="1">
      <c r="B1253" s="110" t="s">
        <v>1710</v>
      </c>
    </row>
    <row r="1254" spans="1:8" outlineLevel="1">
      <c r="B1254" s="160">
        <f>+H1252</f>
        <v>5673.5</v>
      </c>
      <c r="C1254" s="28" t="s">
        <v>3384</v>
      </c>
      <c r="D1254" s="7">
        <f>INT(B1254/B1255*100)/100</f>
        <v>945.58</v>
      </c>
      <c r="E1254" s="1" t="s">
        <v>3385</v>
      </c>
    </row>
    <row r="1255" spans="1:8" outlineLevel="1">
      <c r="B1255" s="121">
        <v>6</v>
      </c>
    </row>
    <row r="1256" spans="1:8" outlineLevel="1">
      <c r="A1256" s="110" t="s">
        <v>3117</v>
      </c>
      <c r="D1256" s="172" t="s">
        <v>1116</v>
      </c>
    </row>
    <row r="1257" spans="1:8" outlineLevel="1">
      <c r="A1257" s="110"/>
      <c r="D1257" s="172"/>
    </row>
    <row r="1258" spans="1:8" ht="19.5">
      <c r="B1258" s="1089" t="s">
        <v>3378</v>
      </c>
      <c r="C1258" s="1089"/>
      <c r="D1258" s="1089"/>
      <c r="E1258" s="1089"/>
      <c r="F1258" s="1089"/>
      <c r="G1258" s="1089"/>
      <c r="H1258" s="1089"/>
    </row>
    <row r="1259" spans="1:8" ht="16.5" customHeight="1">
      <c r="A1259" s="755">
        <f>A1243+1</f>
        <v>73</v>
      </c>
      <c r="B1259" s="1076" t="s">
        <v>3802</v>
      </c>
      <c r="C1259" s="1077"/>
      <c r="D1259" s="1077"/>
      <c r="E1259" s="1077"/>
      <c r="F1259" s="1077"/>
      <c r="G1259" s="1077"/>
      <c r="H1259" s="1077"/>
    </row>
    <row r="1260" spans="1:8" ht="15.75">
      <c r="A1260" s="688" t="s">
        <v>4391</v>
      </c>
      <c r="B1260" s="1100" t="s">
        <v>2773</v>
      </c>
      <c r="C1260" s="1083"/>
      <c r="D1260" s="1083"/>
      <c r="E1260" s="1083"/>
      <c r="F1260" s="1083"/>
      <c r="G1260" s="1083"/>
      <c r="H1260" s="1083"/>
    </row>
    <row r="1261" spans="1:8" ht="31.5">
      <c r="B1261" s="70" t="s">
        <v>3340</v>
      </c>
      <c r="C1261" s="70" t="s">
        <v>3341</v>
      </c>
      <c r="D1261" s="70" t="s">
        <v>3342</v>
      </c>
      <c r="E1261" s="70" t="s">
        <v>3343</v>
      </c>
      <c r="F1261" s="70" t="s">
        <v>3344</v>
      </c>
      <c r="G1261" s="70" t="s">
        <v>3345</v>
      </c>
      <c r="H1261" s="70" t="s">
        <v>1704</v>
      </c>
    </row>
    <row r="1262" spans="1:8" ht="18" customHeight="1">
      <c r="B1262" s="1067" t="s">
        <v>1705</v>
      </c>
      <c r="C1262" s="703" t="s">
        <v>610</v>
      </c>
      <c r="D1262" s="43">
        <v>1.1000000000000001</v>
      </c>
      <c r="E1262" s="57" t="s">
        <v>1707</v>
      </c>
      <c r="F1262" s="120">
        <f>'update Rate'!$F$5</f>
        <v>525</v>
      </c>
      <c r="G1262" s="111">
        <f t="shared" ref="G1262:G1267" si="39">FLOOR(D1262*F1262,0.01)</f>
        <v>577.5</v>
      </c>
      <c r="H1262" s="706"/>
    </row>
    <row r="1263" spans="1:8" ht="18" customHeight="1">
      <c r="B1263" s="1099"/>
      <c r="C1263" s="55" t="s">
        <v>1647</v>
      </c>
      <c r="D1263" s="264">
        <v>1.25</v>
      </c>
      <c r="E1263" s="58" t="s">
        <v>1707</v>
      </c>
      <c r="F1263" s="126">
        <f>'update Rate'!$F$4</f>
        <v>375</v>
      </c>
      <c r="G1263" s="113">
        <f t="shared" si="39"/>
        <v>468.75</v>
      </c>
      <c r="H1263" s="708">
        <f>SUM(G1262:G1263)</f>
        <v>1046.25</v>
      </c>
    </row>
    <row r="1264" spans="1:8" ht="18" customHeight="1">
      <c r="B1264" s="1069" t="s">
        <v>2330</v>
      </c>
      <c r="C1264" s="57" t="s">
        <v>4316</v>
      </c>
      <c r="D1264" s="43">
        <v>12</v>
      </c>
      <c r="E1264" s="57" t="s">
        <v>3170</v>
      </c>
      <c r="F1264" s="114">
        <f>'update Rate'!$F$113</f>
        <v>471.3</v>
      </c>
      <c r="G1264" s="114">
        <f>FLOOR(D1264*F1264,0.01)</f>
        <v>5655.6</v>
      </c>
      <c r="H1264" s="706"/>
    </row>
    <row r="1265" spans="1:8" ht="18" customHeight="1">
      <c r="B1265" s="1094"/>
      <c r="C1265" s="55" t="s">
        <v>3554</v>
      </c>
      <c r="D1265" s="44">
        <v>30</v>
      </c>
      <c r="E1265" s="55" t="s">
        <v>803</v>
      </c>
      <c r="F1265" s="113">
        <f>'update Rate'!$F$123</f>
        <v>23</v>
      </c>
      <c r="G1265" s="113">
        <f t="shared" si="39"/>
        <v>690</v>
      </c>
      <c r="H1265" s="9"/>
    </row>
    <row r="1266" spans="1:8" ht="18" customHeight="1">
      <c r="B1266" s="1094"/>
      <c r="C1266" s="55" t="s">
        <v>3555</v>
      </c>
      <c r="D1266" s="44">
        <v>25</v>
      </c>
      <c r="E1266" s="55" t="s">
        <v>803</v>
      </c>
      <c r="F1266" s="113">
        <f>'update Rate'!$F$125</f>
        <v>7.85</v>
      </c>
      <c r="G1266" s="113">
        <f t="shared" si="39"/>
        <v>196.25</v>
      </c>
      <c r="H1266" s="9"/>
    </row>
    <row r="1267" spans="1:8" ht="18" customHeight="1">
      <c r="B1267" s="1073"/>
      <c r="C1267" s="58" t="s">
        <v>3169</v>
      </c>
      <c r="D1267" s="45">
        <v>55</v>
      </c>
      <c r="E1267" s="58" t="s">
        <v>803</v>
      </c>
      <c r="F1267" s="176">
        <f>'update Rate'!$F$126</f>
        <v>3</v>
      </c>
      <c r="G1267" s="65">
        <f t="shared" si="39"/>
        <v>165</v>
      </c>
      <c r="H1267" s="707">
        <f>SUM(G1264:G1267)</f>
        <v>6706.85</v>
      </c>
    </row>
    <row r="1268" spans="1:8" ht="18" customHeight="1">
      <c r="F1268" s="42" t="s">
        <v>1708</v>
      </c>
      <c r="G1268" s="94"/>
      <c r="H1268" s="65">
        <f>SUM(H1267,H1263)</f>
        <v>7753.1</v>
      </c>
    </row>
    <row r="1269" spans="1:8" ht="15.75" customHeight="1">
      <c r="B1269" s="1" t="s">
        <v>1710</v>
      </c>
      <c r="F1269" s="42" t="s">
        <v>1689</v>
      </c>
      <c r="G1269" s="94"/>
      <c r="H1269" s="103">
        <f>FLOOR(H1268*0.15,0.01)</f>
        <v>1162.96</v>
      </c>
    </row>
    <row r="1270" spans="1:8" ht="18" customHeight="1">
      <c r="A1270"/>
      <c r="B1270" s="147">
        <f>+H1270</f>
        <v>8916.0600000000013</v>
      </c>
      <c r="C1270" s="28" t="s">
        <v>3384</v>
      </c>
      <c r="D1270" s="103">
        <f>INT(B1270/B1271*100)/100</f>
        <v>891.6</v>
      </c>
      <c r="E1270" s="1" t="s">
        <v>3385</v>
      </c>
      <c r="F1270" s="42" t="s">
        <v>1711</v>
      </c>
      <c r="G1270" s="42"/>
      <c r="H1270" s="103">
        <f>SUM(H1268:H1269)</f>
        <v>8916.0600000000013</v>
      </c>
    </row>
    <row r="1271" spans="1:8" ht="18.75" customHeight="1" outlineLevel="1">
      <c r="A1271" s="110"/>
      <c r="B1271" s="121">
        <v>10</v>
      </c>
      <c r="D1271" s="172"/>
    </row>
    <row r="1272" spans="1:8" ht="19.5">
      <c r="B1272" s="1089" t="s">
        <v>3378</v>
      </c>
      <c r="C1272" s="1089"/>
      <c r="D1272" s="1089"/>
      <c r="E1272" s="1089"/>
      <c r="F1272" s="1089"/>
      <c r="G1272" s="1089"/>
      <c r="H1272" s="1089"/>
    </row>
    <row r="1273" spans="1:8" ht="16.5" customHeight="1">
      <c r="A1273" s="755">
        <f>A1259+1</f>
        <v>74</v>
      </c>
      <c r="B1273" s="1076" t="s">
        <v>2319</v>
      </c>
      <c r="C1273" s="1077"/>
      <c r="D1273" s="1077"/>
      <c r="E1273" s="1077"/>
      <c r="F1273" s="1077"/>
      <c r="G1273" s="1077"/>
      <c r="H1273" s="1077"/>
    </row>
    <row r="1274" spans="1:8" ht="15.75">
      <c r="A1274" s="688" t="s">
        <v>4391</v>
      </c>
      <c r="B1274" s="1100" t="s">
        <v>2773</v>
      </c>
      <c r="C1274" s="1083"/>
      <c r="D1274" s="1083"/>
      <c r="E1274" s="1083"/>
      <c r="F1274" s="1083"/>
      <c r="G1274" s="1083"/>
      <c r="H1274" s="1083"/>
    </row>
    <row r="1275" spans="1:8" ht="31.5">
      <c r="B1275" s="70" t="s">
        <v>3340</v>
      </c>
      <c r="C1275" s="70" t="s">
        <v>3341</v>
      </c>
      <c r="D1275" s="70" t="s">
        <v>3342</v>
      </c>
      <c r="E1275" s="70" t="s">
        <v>3343</v>
      </c>
      <c r="F1275" s="70" t="s">
        <v>3344</v>
      </c>
      <c r="G1275" s="70" t="s">
        <v>3345</v>
      </c>
      <c r="H1275" s="70" t="s">
        <v>1704</v>
      </c>
    </row>
    <row r="1276" spans="1:8" ht="18" customHeight="1">
      <c r="B1276" s="1067" t="s">
        <v>1705</v>
      </c>
      <c r="C1276" s="60" t="s">
        <v>610</v>
      </c>
      <c r="D1276" s="43">
        <v>1.1000000000000001</v>
      </c>
      <c r="E1276" s="57" t="s">
        <v>1707</v>
      </c>
      <c r="F1276" s="120">
        <f>'update Rate'!$F$5</f>
        <v>525</v>
      </c>
      <c r="G1276" s="111">
        <f t="shared" ref="G1276:G1281" si="40">FLOOR(D1276*F1276,0.01)</f>
        <v>577.5</v>
      </c>
      <c r="H1276" s="112"/>
    </row>
    <row r="1277" spans="1:8" ht="18" customHeight="1">
      <c r="B1277" s="1099"/>
      <c r="C1277" s="55" t="s">
        <v>1647</v>
      </c>
      <c r="D1277" s="264">
        <v>1.25</v>
      </c>
      <c r="E1277" s="58" t="s">
        <v>1707</v>
      </c>
      <c r="F1277" s="126">
        <f>'update Rate'!$F$4</f>
        <v>375</v>
      </c>
      <c r="G1277" s="113">
        <f t="shared" si="40"/>
        <v>468.75</v>
      </c>
      <c r="H1277" s="125">
        <f>SUM(G1276:G1277)</f>
        <v>1046.25</v>
      </c>
    </row>
    <row r="1278" spans="1:8" ht="18" customHeight="1">
      <c r="B1278" s="1069" t="s">
        <v>2330</v>
      </c>
      <c r="C1278" s="57" t="s">
        <v>4317</v>
      </c>
      <c r="D1278" s="43">
        <v>12</v>
      </c>
      <c r="E1278" s="57" t="s">
        <v>3170</v>
      </c>
      <c r="F1278" s="114">
        <f>'update Rate'!$F$112</f>
        <v>507.94</v>
      </c>
      <c r="G1278" s="114">
        <f t="shared" si="40"/>
        <v>6095.28</v>
      </c>
      <c r="H1278" s="112"/>
    </row>
    <row r="1279" spans="1:8" ht="18" customHeight="1">
      <c r="B1279" s="1094"/>
      <c r="C1279" s="55" t="s">
        <v>3554</v>
      </c>
      <c r="D1279" s="44">
        <v>30</v>
      </c>
      <c r="E1279" s="55" t="s">
        <v>803</v>
      </c>
      <c r="F1279" s="113">
        <f>'update Rate'!$F$123</f>
        <v>23</v>
      </c>
      <c r="G1279" s="113">
        <f t="shared" si="40"/>
        <v>690</v>
      </c>
      <c r="H1279" s="9"/>
    </row>
    <row r="1280" spans="1:8" ht="18" customHeight="1">
      <c r="B1280" s="1094"/>
      <c r="C1280" s="55" t="s">
        <v>3555</v>
      </c>
      <c r="D1280" s="44">
        <v>25</v>
      </c>
      <c r="E1280" s="55" t="s">
        <v>803</v>
      </c>
      <c r="F1280" s="113">
        <f>'update Rate'!$F$125</f>
        <v>7.85</v>
      </c>
      <c r="G1280" s="113">
        <f t="shared" si="40"/>
        <v>196.25</v>
      </c>
      <c r="H1280" s="9"/>
    </row>
    <row r="1281" spans="1:8" ht="18" customHeight="1">
      <c r="B1281" s="1073"/>
      <c r="C1281" s="58" t="s">
        <v>3169</v>
      </c>
      <c r="D1281" s="45">
        <v>55</v>
      </c>
      <c r="E1281" s="58" t="s">
        <v>803</v>
      </c>
      <c r="F1281" s="176">
        <f>'update Rate'!$F$126</f>
        <v>3</v>
      </c>
      <c r="G1281" s="65">
        <f t="shared" si="40"/>
        <v>165</v>
      </c>
      <c r="H1281" s="127">
        <f>SUM(G1278:G1281)</f>
        <v>7146.53</v>
      </c>
    </row>
    <row r="1282" spans="1:8" ht="18" customHeight="1">
      <c r="F1282" s="42" t="s">
        <v>1708</v>
      </c>
      <c r="G1282" s="94"/>
      <c r="H1282" s="65">
        <f>SUM(H1281,H1277)</f>
        <v>8192.7799999999988</v>
      </c>
    </row>
    <row r="1283" spans="1:8" ht="15.75" customHeight="1">
      <c r="B1283" s="1" t="s">
        <v>1710</v>
      </c>
      <c r="F1283" s="42" t="s">
        <v>1689</v>
      </c>
      <c r="G1283" s="94"/>
      <c r="H1283" s="103">
        <f>FLOOR(H1282*0.15,0.01)</f>
        <v>1228.9100000000001</v>
      </c>
    </row>
    <row r="1284" spans="1:8" ht="18" customHeight="1">
      <c r="A1284"/>
      <c r="B1284" s="147">
        <f>+H1284</f>
        <v>9421.6899999999987</v>
      </c>
      <c r="C1284" s="28" t="s">
        <v>3384</v>
      </c>
      <c r="D1284" s="103">
        <f>INT(B1284/B1285*100)/100</f>
        <v>942.16</v>
      </c>
      <c r="E1284" s="1" t="s">
        <v>3385</v>
      </c>
      <c r="F1284" s="42" t="s">
        <v>1711</v>
      </c>
      <c r="G1284" s="42"/>
      <c r="H1284" s="103">
        <f>SUM(H1282:H1283)</f>
        <v>9421.6899999999987</v>
      </c>
    </row>
    <row r="1285" spans="1:8" ht="18" customHeight="1">
      <c r="B1285" s="121">
        <v>10</v>
      </c>
      <c r="H1285" s="139"/>
    </row>
    <row r="1286" spans="1:8" ht="18" customHeight="1">
      <c r="B1286" s="121"/>
      <c r="H1286" s="90"/>
    </row>
    <row r="1287" spans="1:8" ht="18" customHeight="1">
      <c r="B1287" s="121"/>
      <c r="H1287" s="90"/>
    </row>
    <row r="1288" spans="1:8" ht="18" customHeight="1">
      <c r="B1288" s="1089" t="s">
        <v>3378</v>
      </c>
      <c r="C1288" s="1089"/>
      <c r="D1288" s="1089"/>
      <c r="E1288" s="1089"/>
      <c r="F1288" s="1089"/>
      <c r="G1288" s="1089"/>
      <c r="H1288" s="1089"/>
    </row>
    <row r="1289" spans="1:8" ht="18" customHeight="1">
      <c r="A1289" s="755">
        <f>A1273+1</f>
        <v>75</v>
      </c>
      <c r="B1289" s="1076" t="s">
        <v>2617</v>
      </c>
      <c r="C1289" s="1077"/>
      <c r="D1289" s="1077"/>
      <c r="E1289" s="1077"/>
      <c r="F1289" s="1077"/>
      <c r="G1289" s="1077"/>
      <c r="H1289" s="1077"/>
    </row>
    <row r="1290" spans="1:8" ht="13.5" customHeight="1">
      <c r="A1290" s="688" t="s">
        <v>4391</v>
      </c>
      <c r="B1290" s="1074" t="s">
        <v>2773</v>
      </c>
      <c r="C1290" s="1092"/>
      <c r="D1290" s="1092"/>
      <c r="E1290" s="1092"/>
      <c r="F1290" s="1092"/>
      <c r="G1290" s="1092"/>
      <c r="H1290" s="1092"/>
    </row>
    <row r="1291" spans="1:8" ht="31.5">
      <c r="B1291" s="70" t="s">
        <v>3340</v>
      </c>
      <c r="C1291" s="70" t="s">
        <v>3341</v>
      </c>
      <c r="D1291" s="70" t="s">
        <v>3342</v>
      </c>
      <c r="E1291" s="70" t="s">
        <v>3343</v>
      </c>
      <c r="F1291" s="70" t="s">
        <v>3344</v>
      </c>
      <c r="G1291" s="70" t="s">
        <v>3345</v>
      </c>
      <c r="H1291" s="70" t="s">
        <v>1704</v>
      </c>
    </row>
    <row r="1292" spans="1:8" ht="17.25">
      <c r="B1292" s="1067" t="s">
        <v>1705</v>
      </c>
      <c r="C1292" s="60" t="s">
        <v>610</v>
      </c>
      <c r="D1292" s="43">
        <v>1.1000000000000001</v>
      </c>
      <c r="E1292" s="57" t="s">
        <v>1707</v>
      </c>
      <c r="F1292" s="111">
        <f>'update Rate'!F5</f>
        <v>525</v>
      </c>
      <c r="G1292" s="111">
        <f t="shared" ref="G1292:G1297" si="41">FLOOR(D1292*F1292,0.01)</f>
        <v>577.5</v>
      </c>
      <c r="H1292" s="112"/>
    </row>
    <row r="1293" spans="1:8" ht="18" customHeight="1">
      <c r="B1293" s="1070"/>
      <c r="C1293" s="55" t="s">
        <v>1647</v>
      </c>
      <c r="D1293" s="264">
        <v>1.25</v>
      </c>
      <c r="E1293" s="58" t="s">
        <v>1707</v>
      </c>
      <c r="F1293" s="113">
        <f>'update Rate'!F4</f>
        <v>375</v>
      </c>
      <c r="G1293" s="113">
        <f t="shared" si="41"/>
        <v>468.75</v>
      </c>
      <c r="H1293" s="125">
        <f>SUM(G1292:G1293)</f>
        <v>1046.25</v>
      </c>
    </row>
    <row r="1294" spans="1:8" ht="18" customHeight="1">
      <c r="B1294" s="1069" t="s">
        <v>2330</v>
      </c>
      <c r="C1294" s="57" t="s">
        <v>1573</v>
      </c>
      <c r="D1294" s="43">
        <v>12</v>
      </c>
      <c r="E1294" s="57" t="s">
        <v>3170</v>
      </c>
      <c r="F1294" s="114">
        <f>'update Rate'!$F$110</f>
        <v>548.04999999999995</v>
      </c>
      <c r="G1294" s="114">
        <f t="shared" si="41"/>
        <v>6576.6</v>
      </c>
      <c r="H1294" s="112"/>
    </row>
    <row r="1295" spans="1:8" ht="17.25">
      <c r="B1295" s="1094"/>
      <c r="C1295" s="55" t="s">
        <v>3554</v>
      </c>
      <c r="D1295" s="44">
        <v>30</v>
      </c>
      <c r="E1295" s="55" t="s">
        <v>803</v>
      </c>
      <c r="F1295" s="113">
        <f>'update Rate'!$F$123</f>
        <v>23</v>
      </c>
      <c r="G1295" s="113">
        <f t="shared" si="41"/>
        <v>690</v>
      </c>
      <c r="H1295" s="9"/>
    </row>
    <row r="1296" spans="1:8" ht="18" customHeight="1">
      <c r="B1296" s="1094"/>
      <c r="C1296" s="55" t="s">
        <v>3555</v>
      </c>
      <c r="D1296" s="44">
        <v>25</v>
      </c>
      <c r="E1296" s="55" t="s">
        <v>803</v>
      </c>
      <c r="F1296" s="113">
        <f>'update Rate'!$F$125</f>
        <v>7.85</v>
      </c>
      <c r="G1296" s="113">
        <f t="shared" si="41"/>
        <v>196.25</v>
      </c>
      <c r="H1296" s="9"/>
    </row>
    <row r="1297" spans="1:8" ht="18" customHeight="1">
      <c r="B1297" s="1073"/>
      <c r="C1297" s="58" t="s">
        <v>3169</v>
      </c>
      <c r="D1297" s="45">
        <v>55</v>
      </c>
      <c r="E1297" s="58" t="s">
        <v>803</v>
      </c>
      <c r="F1297" s="176">
        <f>'update Rate'!$F$126</f>
        <v>3</v>
      </c>
      <c r="G1297" s="65">
        <f t="shared" si="41"/>
        <v>165</v>
      </c>
      <c r="H1297" s="127">
        <f>SUM(G1294:G1297)</f>
        <v>7627.85</v>
      </c>
    </row>
    <row r="1298" spans="1:8" ht="18" customHeight="1">
      <c r="F1298" s="42" t="s">
        <v>1708</v>
      </c>
      <c r="G1298" s="94"/>
      <c r="H1298" s="65">
        <f>SUM(H1297,H1293)</f>
        <v>8674.1</v>
      </c>
    </row>
    <row r="1299" spans="1:8" ht="18" customHeight="1">
      <c r="B1299" s="1" t="s">
        <v>1710</v>
      </c>
      <c r="F1299" s="42" t="s">
        <v>1689</v>
      </c>
      <c r="G1299" s="94"/>
      <c r="H1299" s="103">
        <f>FLOOR(H1298*0.15,0.01)</f>
        <v>1301.1100000000001</v>
      </c>
    </row>
    <row r="1300" spans="1:8" ht="18" customHeight="1">
      <c r="A1300"/>
      <c r="B1300" s="147">
        <f>+H1300</f>
        <v>9975.2100000000009</v>
      </c>
      <c r="C1300" s="28" t="s">
        <v>3384</v>
      </c>
      <c r="D1300" s="103">
        <f>INT(B1300/B1301*100)/100</f>
        <v>997.52</v>
      </c>
      <c r="E1300" s="1" t="s">
        <v>3385</v>
      </c>
      <c r="F1300" s="42" t="s">
        <v>1711</v>
      </c>
      <c r="G1300" s="42"/>
      <c r="H1300" s="103">
        <f>SUM(H1298:H1299)</f>
        <v>9975.2100000000009</v>
      </c>
    </row>
    <row r="1301" spans="1:8" ht="18" customHeight="1">
      <c r="B1301" s="121">
        <v>10</v>
      </c>
      <c r="H1301" s="139"/>
    </row>
    <row r="1302" spans="1:8" ht="18" customHeight="1">
      <c r="B1302" s="121"/>
      <c r="H1302" s="90"/>
    </row>
    <row r="1303" spans="1:8" ht="18" customHeight="1">
      <c r="B1303" s="121"/>
      <c r="H1303" s="90"/>
    </row>
    <row r="1304" spans="1:8" ht="18" customHeight="1">
      <c r="A1304" s="32"/>
      <c r="B1304" s="1088" t="s">
        <v>3803</v>
      </c>
      <c r="C1304" s="1088"/>
      <c r="D1304" s="1088"/>
      <c r="E1304" s="1088"/>
      <c r="F1304" s="1088"/>
      <c r="G1304" s="1088"/>
      <c r="H1304" s="1088"/>
    </row>
    <row r="1305" spans="1:8" ht="18">
      <c r="A1305" s="282">
        <f>+A1289+1</f>
        <v>76</v>
      </c>
      <c r="B1305" s="1088" t="s">
        <v>2627</v>
      </c>
      <c r="C1305" s="1088"/>
      <c r="D1305" s="1088"/>
      <c r="E1305" s="1088"/>
      <c r="F1305" s="1088"/>
      <c r="G1305" s="1088"/>
      <c r="H1305" s="1088"/>
    </row>
    <row r="1306" spans="1:8" ht="13.5" customHeight="1" outlineLevel="1">
      <c r="A1306" s="688" t="s">
        <v>4391</v>
      </c>
      <c r="B1306" s="1100" t="s">
        <v>653</v>
      </c>
      <c r="C1306" s="1083"/>
      <c r="D1306" s="1083"/>
      <c r="E1306" s="1083"/>
      <c r="F1306" s="1083"/>
      <c r="G1306" s="1083"/>
      <c r="H1306" s="1083"/>
    </row>
    <row r="1307" spans="1:8" ht="30" outlineLevel="1">
      <c r="B1307" s="4" t="s">
        <v>3340</v>
      </c>
      <c r="C1307" s="4" t="s">
        <v>3341</v>
      </c>
      <c r="D1307" s="4" t="s">
        <v>3342</v>
      </c>
      <c r="E1307" s="4" t="s">
        <v>3343</v>
      </c>
      <c r="F1307" s="4" t="s">
        <v>3344</v>
      </c>
      <c r="G1307" s="4" t="s">
        <v>3345</v>
      </c>
      <c r="H1307" s="4" t="s">
        <v>1704</v>
      </c>
    </row>
    <row r="1308" spans="1:8" ht="16.5" outlineLevel="1">
      <c r="B1308" s="1142" t="s">
        <v>1705</v>
      </c>
      <c r="C1308" s="14" t="s">
        <v>610</v>
      </c>
      <c r="D1308" s="43">
        <v>2</v>
      </c>
      <c r="E1308" s="183" t="s">
        <v>1707</v>
      </c>
      <c r="F1308" s="173">
        <f>'update Rate'!F5</f>
        <v>525</v>
      </c>
      <c r="G1308" s="173">
        <f>FLOOR(D1308*F1308,0.01)</f>
        <v>1050</v>
      </c>
      <c r="H1308" s="178"/>
    </row>
    <row r="1309" spans="1:8" ht="16.5" outlineLevel="1">
      <c r="B1309" s="1143"/>
      <c r="C1309" s="12" t="s">
        <v>1647</v>
      </c>
      <c r="D1309" s="44">
        <v>3</v>
      </c>
      <c r="E1309" s="184" t="s">
        <v>1707</v>
      </c>
      <c r="F1309" s="174">
        <f>'update Rate'!F4</f>
        <v>375</v>
      </c>
      <c r="G1309" s="176">
        <f>FLOOR(D1309*F1309,0.01)</f>
        <v>1125</v>
      </c>
      <c r="H1309" s="180">
        <f>SUM(G1308+G1309)</f>
        <v>2175</v>
      </c>
    </row>
    <row r="1310" spans="1:8" ht="16.5" outlineLevel="1">
      <c r="B1310" s="1127" t="s">
        <v>2330</v>
      </c>
      <c r="C1310" s="11" t="s">
        <v>3806</v>
      </c>
      <c r="D1310" s="43">
        <v>12</v>
      </c>
      <c r="E1310" s="183" t="s">
        <v>3172</v>
      </c>
      <c r="F1310" s="175">
        <f>'update Rate'!F106</f>
        <v>268.70275499999997</v>
      </c>
      <c r="G1310" s="175">
        <f>FLOOR(D1310*F1310,0.01)</f>
        <v>3224.4300000000003</v>
      </c>
      <c r="H1310" s="178"/>
    </row>
    <row r="1311" spans="1:8" outlineLevel="1">
      <c r="B1311" s="1128"/>
      <c r="C1311" s="15" t="s">
        <v>2495</v>
      </c>
      <c r="D1311" s="943" t="s">
        <v>3171</v>
      </c>
      <c r="E1311" s="184" t="s">
        <v>3173</v>
      </c>
      <c r="F1311" s="184" t="s">
        <v>3173</v>
      </c>
      <c r="G1311" s="176">
        <v>70</v>
      </c>
      <c r="H1311" s="180">
        <f>SUM(G1310:G1311)</f>
        <v>3294.4300000000003</v>
      </c>
    </row>
    <row r="1312" spans="1:8" ht="15.75" outlineLevel="1">
      <c r="B1312" s="1" t="s">
        <v>1538</v>
      </c>
      <c r="F1312" s="1" t="s">
        <v>1708</v>
      </c>
      <c r="G1312" s="42"/>
      <c r="H1312" s="176">
        <f>SUM(H1309:H1311)</f>
        <v>5469.43</v>
      </c>
    </row>
    <row r="1313" spans="1:8" ht="15.75" outlineLevel="1">
      <c r="B1313" s="160">
        <f>+H1314</f>
        <v>6289.84</v>
      </c>
      <c r="C1313" s="28" t="s">
        <v>3384</v>
      </c>
      <c r="D1313" s="7">
        <f>INT(B1313/B1314*100)/100</f>
        <v>628.98</v>
      </c>
      <c r="E1313" s="1" t="s">
        <v>3385</v>
      </c>
      <c r="F1313" s="1" t="s">
        <v>1689</v>
      </c>
      <c r="G1313" s="42"/>
      <c r="H1313" s="103">
        <f>FLOOR(H1312*0.15,0.01)</f>
        <v>820.41</v>
      </c>
    </row>
    <row r="1314" spans="1:8" ht="15.75" outlineLevel="1">
      <c r="A1314"/>
      <c r="B1314" s="185">
        <v>10</v>
      </c>
      <c r="F1314" s="1" t="s">
        <v>1711</v>
      </c>
      <c r="G1314" s="42"/>
      <c r="H1314" s="6">
        <f>SUM(H1312:H1313)</f>
        <v>6289.84</v>
      </c>
    </row>
    <row r="1315" spans="1:8" outlineLevel="1">
      <c r="B1315" s="110" t="s">
        <v>1710</v>
      </c>
    </row>
    <row r="1316" spans="1:8" outlineLevel="1">
      <c r="B1316" s="160">
        <f>+H1314</f>
        <v>6289.84</v>
      </c>
      <c r="C1316" s="28" t="s">
        <v>3384</v>
      </c>
      <c r="D1316" s="7">
        <f>INT(B1316/B1317*100)/100</f>
        <v>1048.3</v>
      </c>
      <c r="E1316" s="1" t="s">
        <v>3385</v>
      </c>
    </row>
    <row r="1317" spans="1:8" outlineLevel="1">
      <c r="B1317" s="185">
        <v>6</v>
      </c>
    </row>
    <row r="1318" spans="1:8" outlineLevel="1">
      <c r="A1318" s="110" t="s">
        <v>3117</v>
      </c>
      <c r="D1318" s="172" t="s">
        <v>1116</v>
      </c>
    </row>
    <row r="1319" spans="1:8" outlineLevel="1">
      <c r="A1319" s="110"/>
      <c r="D1319" s="172"/>
    </row>
    <row r="1320" spans="1:8" ht="18" outlineLevel="1">
      <c r="A1320" s="32"/>
      <c r="B1320" s="1088" t="s">
        <v>3804</v>
      </c>
      <c r="C1320" s="1088"/>
      <c r="D1320" s="1088"/>
      <c r="E1320" s="1088"/>
      <c r="F1320" s="1088"/>
      <c r="G1320" s="1088"/>
      <c r="H1320" s="1088"/>
    </row>
    <row r="1321" spans="1:8" ht="18" outlineLevel="1">
      <c r="A1321" s="282">
        <f>+A1305+1</f>
        <v>77</v>
      </c>
      <c r="B1321" s="1088" t="s">
        <v>2627</v>
      </c>
      <c r="C1321" s="1088"/>
      <c r="D1321" s="1088"/>
      <c r="E1321" s="1088"/>
      <c r="F1321" s="1088"/>
      <c r="G1321" s="1088"/>
      <c r="H1321" s="1088"/>
    </row>
    <row r="1322" spans="1:8" ht="15.75" outlineLevel="1">
      <c r="A1322" s="688" t="s">
        <v>4390</v>
      </c>
      <c r="B1322" s="1100" t="s">
        <v>653</v>
      </c>
      <c r="C1322" s="1083"/>
      <c r="D1322" s="1083"/>
      <c r="E1322" s="1083"/>
      <c r="F1322" s="1083"/>
      <c r="G1322" s="1083"/>
      <c r="H1322" s="1083"/>
    </row>
    <row r="1323" spans="1:8" ht="30" outlineLevel="1">
      <c r="B1323" s="4" t="s">
        <v>3340</v>
      </c>
      <c r="C1323" s="4" t="s">
        <v>3341</v>
      </c>
      <c r="D1323" s="4" t="s">
        <v>3342</v>
      </c>
      <c r="E1323" s="4" t="s">
        <v>3343</v>
      </c>
      <c r="F1323" s="4" t="s">
        <v>3344</v>
      </c>
      <c r="G1323" s="4" t="s">
        <v>3345</v>
      </c>
      <c r="H1323" s="4" t="s">
        <v>1704</v>
      </c>
    </row>
    <row r="1324" spans="1:8" ht="16.5" outlineLevel="1">
      <c r="B1324" s="1142" t="s">
        <v>1705</v>
      </c>
      <c r="C1324" s="14" t="s">
        <v>610</v>
      </c>
      <c r="D1324" s="43">
        <v>2</v>
      </c>
      <c r="E1324" s="183" t="s">
        <v>1707</v>
      </c>
      <c r="F1324" s="173">
        <f>mason</f>
        <v>525</v>
      </c>
      <c r="G1324" s="173">
        <f>FLOOR(D1324*F1324,0.01)</f>
        <v>1050</v>
      </c>
      <c r="H1324" s="178"/>
    </row>
    <row r="1325" spans="1:8" ht="20.100000000000001" customHeight="1" outlineLevel="1">
      <c r="B1325" s="1143"/>
      <c r="C1325" s="12" t="s">
        <v>1647</v>
      </c>
      <c r="D1325" s="44">
        <v>3</v>
      </c>
      <c r="E1325" s="184" t="s">
        <v>1707</v>
      </c>
      <c r="F1325" s="174">
        <f>'update Rate'!F4</f>
        <v>375</v>
      </c>
      <c r="G1325" s="176">
        <f>FLOOR(D1325*F1325,0.01)</f>
        <v>1125</v>
      </c>
      <c r="H1325" s="180">
        <f>SUM(G1324+G1325)</f>
        <v>2175</v>
      </c>
    </row>
    <row r="1326" spans="1:8" ht="21.75" customHeight="1" outlineLevel="1">
      <c r="B1326" s="1127" t="s">
        <v>2330</v>
      </c>
      <c r="C1326" s="11" t="s">
        <v>3805</v>
      </c>
      <c r="D1326" s="43">
        <v>12</v>
      </c>
      <c r="E1326" s="183" t="s">
        <v>3172</v>
      </c>
      <c r="F1326" s="175">
        <f>'update Rate'!F104</f>
        <v>291.19788</v>
      </c>
      <c r="G1326" s="175">
        <f>FLOOR(D1326*F1326,0.01)</f>
        <v>3494.37</v>
      </c>
      <c r="H1326" s="178"/>
    </row>
    <row r="1327" spans="1:8" ht="20.100000000000001" customHeight="1" outlineLevel="1">
      <c r="B1327" s="1128"/>
      <c r="C1327" s="15" t="s">
        <v>2495</v>
      </c>
      <c r="D1327" s="943" t="s">
        <v>3171</v>
      </c>
      <c r="E1327" s="184" t="s">
        <v>3173</v>
      </c>
      <c r="F1327" s="184" t="s">
        <v>3173</v>
      </c>
      <c r="G1327" s="176">
        <v>70</v>
      </c>
      <c r="H1327" s="180">
        <f>SUM(G1326:G1327)</f>
        <v>3564.37</v>
      </c>
    </row>
    <row r="1328" spans="1:8" ht="20.100000000000001" customHeight="1" outlineLevel="1">
      <c r="B1328" s="1" t="s">
        <v>1538</v>
      </c>
      <c r="F1328" s="1" t="s">
        <v>1708</v>
      </c>
      <c r="G1328" s="42"/>
      <c r="H1328" s="176">
        <f>SUM(H1325:H1327)</f>
        <v>5739.37</v>
      </c>
    </row>
    <row r="1329" spans="1:8" ht="15.75" outlineLevel="1">
      <c r="B1329" s="160">
        <f>+H1330</f>
        <v>6600.2699999999995</v>
      </c>
      <c r="C1329" s="28" t="s">
        <v>3384</v>
      </c>
      <c r="D1329" s="7">
        <f>INT(B1329/B1330*100)/100</f>
        <v>660.02</v>
      </c>
      <c r="E1329" s="1" t="s">
        <v>3385</v>
      </c>
      <c r="F1329" s="1" t="s">
        <v>1689</v>
      </c>
      <c r="G1329" s="42"/>
      <c r="H1329" s="103">
        <f>FLOOR(H1328*0.15,0.01)</f>
        <v>860.9</v>
      </c>
    </row>
    <row r="1330" spans="1:8" ht="15.75" outlineLevel="1">
      <c r="A1330"/>
      <c r="B1330" s="185">
        <v>10</v>
      </c>
      <c r="F1330" s="1" t="s">
        <v>1711</v>
      </c>
      <c r="G1330" s="42"/>
      <c r="H1330" s="6">
        <f>SUM(H1328:H1329)</f>
        <v>6600.2699999999995</v>
      </c>
    </row>
    <row r="1331" spans="1:8" outlineLevel="1">
      <c r="B1331" s="110" t="s">
        <v>1710</v>
      </c>
    </row>
    <row r="1332" spans="1:8" outlineLevel="1">
      <c r="B1332" s="160">
        <f>+H1330</f>
        <v>6600.2699999999995</v>
      </c>
      <c r="C1332" s="28" t="s">
        <v>3384</v>
      </c>
      <c r="D1332" s="7">
        <f>INT(B1332/B1333*100)/100</f>
        <v>1100.04</v>
      </c>
      <c r="E1332" s="1" t="s">
        <v>3385</v>
      </c>
    </row>
    <row r="1333" spans="1:8" outlineLevel="1">
      <c r="B1333" s="185">
        <v>6</v>
      </c>
    </row>
    <row r="1334" spans="1:8" outlineLevel="1">
      <c r="A1334" s="110" t="s">
        <v>3117</v>
      </c>
      <c r="D1334" s="172" t="s">
        <v>1116</v>
      </c>
    </row>
    <row r="1335" spans="1:8" outlineLevel="1">
      <c r="A1335" s="110"/>
      <c r="D1335" s="172"/>
    </row>
    <row r="1336" spans="1:8" outlineLevel="1">
      <c r="A1336" s="110"/>
      <c r="D1336" s="172"/>
    </row>
    <row r="1337" spans="1:8" outlineLevel="1">
      <c r="A1337" s="110"/>
      <c r="D1337" s="172"/>
    </row>
    <row r="1338" spans="1:8" outlineLevel="1">
      <c r="A1338" s="110"/>
      <c r="D1338" s="172"/>
    </row>
    <row r="1339" spans="1:8" outlineLevel="1">
      <c r="A1339" s="110"/>
      <c r="D1339" s="172"/>
    </row>
    <row r="1340" spans="1:8" outlineLevel="1">
      <c r="A1340" s="110"/>
      <c r="D1340" s="172"/>
    </row>
    <row r="1341" spans="1:8" outlineLevel="1">
      <c r="A1341" s="110"/>
      <c r="D1341" s="172"/>
    </row>
    <row r="1342" spans="1:8" outlineLevel="1">
      <c r="A1342" s="110"/>
      <c r="D1342" s="172"/>
    </row>
    <row r="1343" spans="1:8" outlineLevel="1">
      <c r="A1343" s="110"/>
      <c r="D1343" s="172"/>
    </row>
    <row r="1344" spans="1:8" outlineLevel="1">
      <c r="A1344" s="110"/>
      <c r="D1344" s="172"/>
    </row>
    <row r="1345" spans="1:8" outlineLevel="1">
      <c r="A1345" s="282">
        <f>+A1321+1</f>
        <v>78</v>
      </c>
    </row>
    <row r="1346" spans="1:8" ht="19.5" outlineLevel="1">
      <c r="A1346" s="688" t="s">
        <v>3819</v>
      </c>
      <c r="B1346" s="1076" t="s">
        <v>3811</v>
      </c>
      <c r="C1346" s="1089"/>
      <c r="D1346" s="1089"/>
      <c r="E1346" s="1089"/>
      <c r="F1346" s="1089"/>
      <c r="G1346" s="1089"/>
      <c r="H1346" s="1089"/>
    </row>
    <row r="1347" spans="1:8" ht="19.5" outlineLevel="1">
      <c r="A1347" s="92"/>
      <c r="B1347" s="1077" t="s">
        <v>3812</v>
      </c>
      <c r="C1347" s="1077"/>
      <c r="D1347" s="1077"/>
      <c r="E1347" s="1077"/>
      <c r="F1347" s="1077"/>
      <c r="G1347" s="1077"/>
      <c r="H1347" s="1077"/>
    </row>
    <row r="1348" spans="1:8" outlineLevel="1">
      <c r="A1348" s="25"/>
      <c r="B1348" s="1092" t="s">
        <v>653</v>
      </c>
      <c r="C1348" s="1092"/>
      <c r="D1348" s="1092"/>
      <c r="E1348" s="1092"/>
      <c r="F1348" s="1092"/>
      <c r="G1348" s="1092"/>
      <c r="H1348" s="1092"/>
    </row>
    <row r="1349" spans="1:8" ht="31.5" outlineLevel="1">
      <c r="B1349" s="70" t="s">
        <v>3340</v>
      </c>
      <c r="C1349" s="70" t="s">
        <v>3341</v>
      </c>
      <c r="D1349" s="70" t="s">
        <v>3342</v>
      </c>
      <c r="E1349" s="70" t="s">
        <v>3343</v>
      </c>
      <c r="F1349" s="70" t="s">
        <v>3344</v>
      </c>
      <c r="G1349" s="70" t="s">
        <v>3345</v>
      </c>
      <c r="H1349" s="70" t="s">
        <v>1704</v>
      </c>
    </row>
    <row r="1350" spans="1:8" ht="17.25" outlineLevel="1">
      <c r="B1350" s="1067" t="s">
        <v>1705</v>
      </c>
      <c r="C1350" s="60" t="s">
        <v>610</v>
      </c>
      <c r="D1350" s="43">
        <v>1.75</v>
      </c>
      <c r="E1350" s="57" t="s">
        <v>1707</v>
      </c>
      <c r="F1350" s="173">
        <f>'update Rate'!F5</f>
        <v>525</v>
      </c>
      <c r="G1350" s="111">
        <f t="shared" ref="G1350:G1355" si="42">FLOOR(D1350*F1350,0.01)</f>
        <v>918.75</v>
      </c>
      <c r="H1350" s="706"/>
    </row>
    <row r="1351" spans="1:8" ht="18" customHeight="1" outlineLevel="1">
      <c r="B1351" s="1070"/>
      <c r="C1351" s="58" t="s">
        <v>1647</v>
      </c>
      <c r="D1351" s="45">
        <v>2</v>
      </c>
      <c r="E1351" s="58" t="s">
        <v>1707</v>
      </c>
      <c r="F1351" s="176">
        <f>'update Rate'!F4</f>
        <v>375</v>
      </c>
      <c r="G1351" s="65">
        <f t="shared" si="42"/>
        <v>750</v>
      </c>
      <c r="H1351" s="707">
        <f>SUM(G1350+G1351)</f>
        <v>1668.75</v>
      </c>
    </row>
    <row r="1352" spans="1:8" ht="18" outlineLevel="1">
      <c r="B1352" s="1094" t="s">
        <v>2330</v>
      </c>
      <c r="C1352" s="205" t="s">
        <v>3813</v>
      </c>
      <c r="D1352" s="211">
        <v>13.5</v>
      </c>
      <c r="E1352" s="55" t="s">
        <v>3172</v>
      </c>
      <c r="F1352" s="113">
        <f>FLOOR('update Rate'!F96*0.5,0.01)</f>
        <v>202.31</v>
      </c>
      <c r="G1352" s="113">
        <f t="shared" si="42"/>
        <v>2731.18</v>
      </c>
      <c r="H1352" s="125"/>
    </row>
    <row r="1353" spans="1:8" ht="17.25" outlineLevel="1">
      <c r="B1353" s="1094"/>
      <c r="C1353" s="205" t="s">
        <v>3814</v>
      </c>
      <c r="D1353" s="211">
        <v>32</v>
      </c>
      <c r="E1353" s="55" t="s">
        <v>1643</v>
      </c>
      <c r="F1353" s="720">
        <f>'update Rate'!F516</f>
        <v>81.540000000000006</v>
      </c>
      <c r="G1353" s="113">
        <f t="shared" si="42"/>
        <v>2609.2800000000002</v>
      </c>
      <c r="H1353" s="708"/>
    </row>
    <row r="1354" spans="1:8" ht="17.25" outlineLevel="1">
      <c r="B1354" s="1094"/>
      <c r="C1354" s="205" t="s">
        <v>3815</v>
      </c>
      <c r="D1354" s="211">
        <v>48</v>
      </c>
      <c r="E1354" s="55" t="s">
        <v>1643</v>
      </c>
      <c r="F1354" s="113">
        <f>'update Rate'!F126</f>
        <v>3</v>
      </c>
      <c r="G1354" s="113">
        <f t="shared" si="42"/>
        <v>144</v>
      </c>
      <c r="H1354" s="708"/>
    </row>
    <row r="1355" spans="1:8" ht="17.25" outlineLevel="1">
      <c r="B1355" s="1073"/>
      <c r="C1355" s="704" t="s">
        <v>3816</v>
      </c>
      <c r="D1355" s="45">
        <v>48</v>
      </c>
      <c r="E1355" s="58" t="s">
        <v>1643</v>
      </c>
      <c r="F1355" s="757">
        <f>'update Rate'!F125</f>
        <v>7.85</v>
      </c>
      <c r="G1355" s="65">
        <f t="shared" si="42"/>
        <v>376.8</v>
      </c>
      <c r="H1355" s="180">
        <f>SUM(G1352:G1355)</f>
        <v>5861.26</v>
      </c>
    </row>
    <row r="1356" spans="1:8" ht="15.75" outlineLevel="1">
      <c r="B1356" s="1" t="s">
        <v>1538</v>
      </c>
      <c r="F1356" s="42" t="s">
        <v>1708</v>
      </c>
      <c r="G1356" s="94"/>
      <c r="H1356" s="65">
        <f>SUM(H1351:H1355)</f>
        <v>7530.01</v>
      </c>
    </row>
    <row r="1357" spans="1:8" ht="15.75" outlineLevel="1">
      <c r="B1357" s="147">
        <f>+H1358</f>
        <v>8659.51</v>
      </c>
      <c r="C1357" s="28" t="s">
        <v>3384</v>
      </c>
      <c r="D1357" s="103">
        <f>INT(B1357/B1358*100)/100</f>
        <v>865.95</v>
      </c>
      <c r="E1357" s="1" t="s">
        <v>3385</v>
      </c>
      <c r="F1357" s="42" t="s">
        <v>1689</v>
      </c>
      <c r="G1357" s="94"/>
      <c r="H1357" s="103">
        <f>FLOOR(H1356*0.15,0.01)</f>
        <v>1129.5</v>
      </c>
    </row>
    <row r="1358" spans="1:8" ht="17.25" outlineLevel="1">
      <c r="A1358"/>
      <c r="B1358" s="157">
        <v>10</v>
      </c>
      <c r="F1358" s="42" t="s">
        <v>1711</v>
      </c>
      <c r="G1358" s="42"/>
      <c r="H1358" s="103">
        <f>SUM(H1356:H1357)</f>
        <v>8659.51</v>
      </c>
    </row>
    <row r="1359" spans="1:8" outlineLevel="1">
      <c r="B1359" s="159" t="s">
        <v>1710</v>
      </c>
    </row>
    <row r="1360" spans="1:8" outlineLevel="1">
      <c r="B1360" s="160">
        <f>+H1358</f>
        <v>8659.51</v>
      </c>
      <c r="C1360" s="28" t="s">
        <v>3384</v>
      </c>
      <c r="D1360" s="7">
        <f>INT(B1360/B1361*100)/100</f>
        <v>1443.25</v>
      </c>
      <c r="E1360" s="1" t="s">
        <v>3385</v>
      </c>
    </row>
    <row r="1361" spans="1:8" ht="19.5" customHeight="1" outlineLevel="1">
      <c r="B1361" s="161">
        <v>6</v>
      </c>
    </row>
    <row r="1362" spans="1:8" outlineLevel="1">
      <c r="A1362" s="261" t="s">
        <v>3118</v>
      </c>
    </row>
    <row r="1363" spans="1:8" ht="20.100000000000001" customHeight="1" outlineLevel="1">
      <c r="A1363" s="261"/>
    </row>
    <row r="1364" spans="1:8" outlineLevel="1">
      <c r="A1364" s="282">
        <f>+A1345+1</f>
        <v>79</v>
      </c>
    </row>
    <row r="1365" spans="1:8" ht="19.5" outlineLevel="1">
      <c r="A1365" s="688" t="s">
        <v>4072</v>
      </c>
      <c r="B1365" s="1076" t="s">
        <v>3817</v>
      </c>
      <c r="C1365" s="1089"/>
      <c r="D1365" s="1089"/>
      <c r="E1365" s="1089"/>
      <c r="F1365" s="1089"/>
      <c r="G1365" s="1089"/>
      <c r="H1365" s="1089"/>
    </row>
    <row r="1366" spans="1:8" ht="19.5" outlineLevel="1">
      <c r="A1366" s="92"/>
      <c r="B1366" s="1077" t="s">
        <v>3812</v>
      </c>
      <c r="C1366" s="1077"/>
      <c r="D1366" s="1077"/>
      <c r="E1366" s="1077"/>
      <c r="F1366" s="1077"/>
      <c r="G1366" s="1077"/>
      <c r="H1366" s="1077"/>
    </row>
    <row r="1367" spans="1:8" outlineLevel="1">
      <c r="A1367" s="25"/>
      <c r="B1367" s="1092" t="s">
        <v>653</v>
      </c>
      <c r="C1367" s="1092"/>
      <c r="D1367" s="1092"/>
      <c r="E1367" s="1092"/>
      <c r="F1367" s="1092"/>
      <c r="G1367" s="1092"/>
      <c r="H1367" s="1092"/>
    </row>
    <row r="1368" spans="1:8" ht="31.5" outlineLevel="1">
      <c r="B1368" s="70" t="s">
        <v>3340</v>
      </c>
      <c r="C1368" s="70" t="s">
        <v>3341</v>
      </c>
      <c r="D1368" s="70" t="s">
        <v>3342</v>
      </c>
      <c r="E1368" s="70" t="s">
        <v>3343</v>
      </c>
      <c r="F1368" s="70" t="s">
        <v>3344</v>
      </c>
      <c r="G1368" s="70" t="s">
        <v>3345</v>
      </c>
      <c r="H1368" s="70" t="s">
        <v>1704</v>
      </c>
    </row>
    <row r="1369" spans="1:8" ht="17.25" outlineLevel="1">
      <c r="B1369" s="1067" t="s">
        <v>1705</v>
      </c>
      <c r="C1369" s="703" t="s">
        <v>610</v>
      </c>
      <c r="D1369" s="43">
        <v>1.75</v>
      </c>
      <c r="E1369" s="57" t="s">
        <v>1707</v>
      </c>
      <c r="F1369" s="173">
        <f>'update Rate'!F5</f>
        <v>525</v>
      </c>
      <c r="G1369" s="111">
        <f t="shared" ref="G1369:G1374" si="43">FLOOR(D1369*F1369,0.01)</f>
        <v>918.75</v>
      </c>
      <c r="H1369" s="706"/>
    </row>
    <row r="1370" spans="1:8" ht="18" customHeight="1" outlineLevel="1">
      <c r="B1370" s="1070"/>
      <c r="C1370" s="58" t="s">
        <v>1647</v>
      </c>
      <c r="D1370" s="45">
        <v>2</v>
      </c>
      <c r="E1370" s="58" t="s">
        <v>1707</v>
      </c>
      <c r="F1370" s="176">
        <f>'update Rate'!F4</f>
        <v>375</v>
      </c>
      <c r="G1370" s="65">
        <f t="shared" si="43"/>
        <v>750</v>
      </c>
      <c r="H1370" s="707">
        <f>SUM(G1369+G1370)</f>
        <v>1668.75</v>
      </c>
    </row>
    <row r="1371" spans="1:8" ht="18" outlineLevel="1">
      <c r="B1371" s="1094" t="s">
        <v>2330</v>
      </c>
      <c r="C1371" s="205" t="s">
        <v>3818</v>
      </c>
      <c r="D1371" s="211">
        <v>13.5</v>
      </c>
      <c r="E1371" s="55" t="s">
        <v>3172</v>
      </c>
      <c r="F1371" s="113">
        <f>FLOOR('update Rate'!F103*0.5,0.01)</f>
        <v>242.66</v>
      </c>
      <c r="G1371" s="113">
        <f t="shared" si="43"/>
        <v>3275.91</v>
      </c>
      <c r="H1371" s="708"/>
    </row>
    <row r="1372" spans="1:8" ht="17.25" outlineLevel="1">
      <c r="B1372" s="1094"/>
      <c r="C1372" s="205" t="s">
        <v>3814</v>
      </c>
      <c r="D1372" s="211">
        <v>32</v>
      </c>
      <c r="E1372" s="55" t="s">
        <v>1643</v>
      </c>
      <c r="F1372" s="113">
        <f>'update Rate'!F516</f>
        <v>81.540000000000006</v>
      </c>
      <c r="G1372" s="113">
        <f t="shared" si="43"/>
        <v>2609.2800000000002</v>
      </c>
      <c r="H1372" s="708"/>
    </row>
    <row r="1373" spans="1:8" ht="17.25" outlineLevel="1">
      <c r="B1373" s="1094"/>
      <c r="C1373" s="205" t="s">
        <v>3815</v>
      </c>
      <c r="D1373" s="211">
        <v>48</v>
      </c>
      <c r="E1373" s="55" t="s">
        <v>1643</v>
      </c>
      <c r="F1373" s="113">
        <f>'update Rate'!F126</f>
        <v>3</v>
      </c>
      <c r="G1373" s="113">
        <f t="shared" si="43"/>
        <v>144</v>
      </c>
      <c r="H1373" s="708"/>
    </row>
    <row r="1374" spans="1:8" ht="17.25" outlineLevel="1">
      <c r="B1374" s="1073"/>
      <c r="C1374" s="704" t="s">
        <v>3816</v>
      </c>
      <c r="D1374" s="45">
        <v>48</v>
      </c>
      <c r="E1374" s="58" t="s">
        <v>1643</v>
      </c>
      <c r="F1374" s="65">
        <f>'update Rate'!F125</f>
        <v>7.85</v>
      </c>
      <c r="G1374" s="65">
        <f t="shared" si="43"/>
        <v>376.8</v>
      </c>
      <c r="H1374" s="180">
        <f>SUM(G1371:G1374)</f>
        <v>6405.9900000000007</v>
      </c>
    </row>
    <row r="1375" spans="1:8" ht="15.75" outlineLevel="1">
      <c r="B1375" s="1" t="s">
        <v>1538</v>
      </c>
      <c r="F1375" s="42" t="s">
        <v>1708</v>
      </c>
      <c r="G1375" s="94"/>
      <c r="H1375" s="65">
        <f>SUM(H1370:H1374)</f>
        <v>8074.7400000000007</v>
      </c>
    </row>
    <row r="1376" spans="1:8" ht="15.75" outlineLevel="1">
      <c r="B1376" s="147">
        <f>+H1377</f>
        <v>9285.9500000000007</v>
      </c>
      <c r="C1376" s="28" t="s">
        <v>3384</v>
      </c>
      <c r="D1376" s="103">
        <f>INT(B1376/B1377*100)/100</f>
        <v>928.59</v>
      </c>
      <c r="E1376" s="1" t="s">
        <v>3385</v>
      </c>
      <c r="F1376" s="42" t="s">
        <v>1689</v>
      </c>
      <c r="G1376" s="94"/>
      <c r="H1376" s="103">
        <f>FLOOR(H1375*0.15,0.01)</f>
        <v>1211.21</v>
      </c>
    </row>
    <row r="1377" spans="1:8" ht="17.25" outlineLevel="1">
      <c r="A1377"/>
      <c r="B1377" s="157">
        <v>10</v>
      </c>
      <c r="F1377" s="42" t="s">
        <v>1711</v>
      </c>
      <c r="G1377" s="42"/>
      <c r="H1377" s="103">
        <f>SUM(H1375:H1376)</f>
        <v>9285.9500000000007</v>
      </c>
    </row>
    <row r="1378" spans="1:8" outlineLevel="1">
      <c r="B1378" s="159" t="s">
        <v>1710</v>
      </c>
    </row>
    <row r="1379" spans="1:8" outlineLevel="1">
      <c r="B1379" s="160">
        <f>+H1377</f>
        <v>9285.9500000000007</v>
      </c>
      <c r="C1379" s="28" t="s">
        <v>3384</v>
      </c>
      <c r="D1379" s="7">
        <f>INT(B1379/B1380*100)/100</f>
        <v>1547.65</v>
      </c>
      <c r="E1379" s="1" t="s">
        <v>3385</v>
      </c>
    </row>
    <row r="1380" spans="1:8" ht="19.5" customHeight="1" outlineLevel="1">
      <c r="B1380" s="161">
        <v>6</v>
      </c>
    </row>
    <row r="1381" spans="1:8" outlineLevel="1">
      <c r="A1381" s="261" t="s">
        <v>3118</v>
      </c>
    </row>
    <row r="1382" spans="1:8" ht="20.100000000000001" customHeight="1" outlineLevel="1">
      <c r="A1382" s="261"/>
    </row>
    <row r="1383" spans="1:8" ht="15.75" customHeight="1" outlineLevel="1">
      <c r="A1383" s="261"/>
      <c r="C1383" s="159"/>
      <c r="D1383" s="159"/>
      <c r="E1383" s="159"/>
    </row>
    <row r="1384" spans="1:8" ht="19.5" customHeight="1" outlineLevel="1">
      <c r="A1384" s="282">
        <f>+A1364+1</f>
        <v>80</v>
      </c>
      <c r="B1384" s="1076" t="s">
        <v>3556</v>
      </c>
      <c r="C1384" s="1089"/>
      <c r="D1384" s="1089"/>
      <c r="E1384" s="1089"/>
      <c r="F1384" s="1089"/>
      <c r="G1384" s="1089"/>
      <c r="H1384" s="1089"/>
    </row>
    <row r="1385" spans="1:8" ht="15.75" outlineLevel="1">
      <c r="A1385" s="688" t="s">
        <v>4392</v>
      </c>
      <c r="B1385" s="1100" t="s">
        <v>2773</v>
      </c>
      <c r="C1385" s="1083"/>
      <c r="D1385" s="1083"/>
      <c r="E1385" s="1083"/>
      <c r="F1385" s="1083"/>
      <c r="G1385" s="1083"/>
      <c r="H1385" s="1083"/>
    </row>
    <row r="1386" spans="1:8" ht="31.5" outlineLevel="1">
      <c r="B1386" s="70" t="s">
        <v>3340</v>
      </c>
      <c r="C1386" s="70" t="s">
        <v>3341</v>
      </c>
      <c r="D1386" s="70" t="s">
        <v>3342</v>
      </c>
      <c r="E1386" s="70" t="s">
        <v>3343</v>
      </c>
      <c r="F1386" s="70" t="s">
        <v>3344</v>
      </c>
      <c r="G1386" s="70" t="s">
        <v>3345</v>
      </c>
      <c r="H1386" s="70" t="s">
        <v>1704</v>
      </c>
    </row>
    <row r="1387" spans="1:8" ht="17.25" outlineLevel="1">
      <c r="B1387" s="1067" t="s">
        <v>1705</v>
      </c>
      <c r="C1387" s="60" t="s">
        <v>610</v>
      </c>
      <c r="D1387" s="43">
        <v>4</v>
      </c>
      <c r="E1387" s="57" t="s">
        <v>1707</v>
      </c>
      <c r="F1387" s="111">
        <f>'update Rate'!F5</f>
        <v>525</v>
      </c>
      <c r="G1387" s="111">
        <f>FLOOR(D1387*F1387,0.01)</f>
        <v>2100</v>
      </c>
      <c r="H1387" s="112"/>
    </row>
    <row r="1388" spans="1:8" ht="18.75" customHeight="1" outlineLevel="1">
      <c r="B1388" s="1070"/>
      <c r="C1388" s="55" t="s">
        <v>1647</v>
      </c>
      <c r="D1388" s="45">
        <v>5</v>
      </c>
      <c r="E1388" s="58" t="s">
        <v>1707</v>
      </c>
      <c r="F1388" s="113">
        <f>'update Rate'!F4</f>
        <v>375</v>
      </c>
      <c r="G1388" s="113">
        <f>FLOOR(D1388*F1388,0.01)</f>
        <v>1875</v>
      </c>
      <c r="H1388" s="125">
        <f>SUM(G1387+G1388)</f>
        <v>3975</v>
      </c>
    </row>
    <row r="1389" spans="1:8" ht="17.25" outlineLevel="1">
      <c r="B1389" s="1069" t="s">
        <v>2330</v>
      </c>
      <c r="C1389" s="57"/>
      <c r="D1389" s="43"/>
      <c r="E1389" s="57"/>
      <c r="F1389" s="43"/>
      <c r="G1389" s="43"/>
      <c r="H1389" s="86"/>
    </row>
    <row r="1390" spans="1:8" ht="20.100000000000001" customHeight="1" outlineLevel="1">
      <c r="B1390" s="1094"/>
      <c r="C1390" s="55" t="s">
        <v>3557</v>
      </c>
      <c r="D1390" s="44">
        <v>24</v>
      </c>
      <c r="E1390" s="55" t="s">
        <v>3170</v>
      </c>
      <c r="F1390" s="113">
        <f>'update Rate'!$F$127</f>
        <v>290.52</v>
      </c>
      <c r="G1390" s="113">
        <f>FLOOR(D1390*F1390,0.01)</f>
        <v>6972.4800000000005</v>
      </c>
      <c r="H1390" s="125"/>
    </row>
    <row r="1391" spans="1:8" ht="20.100000000000001" customHeight="1" outlineLevel="1">
      <c r="B1391" s="1073"/>
      <c r="C1391" s="58" t="s">
        <v>2272</v>
      </c>
      <c r="D1391" s="61" t="s">
        <v>3171</v>
      </c>
      <c r="E1391" s="58" t="s">
        <v>3173</v>
      </c>
      <c r="F1391" s="65"/>
      <c r="G1391" s="65">
        <v>120</v>
      </c>
      <c r="H1391" s="127">
        <f>SUM(G1390+G1391)</f>
        <v>7092.4800000000005</v>
      </c>
    </row>
    <row r="1392" spans="1:8" ht="15.75" customHeight="1" outlineLevel="1">
      <c r="B1392" s="3" t="s">
        <v>1710</v>
      </c>
      <c r="F1392" s="42" t="s">
        <v>1708</v>
      </c>
      <c r="G1392" s="94"/>
      <c r="H1392" s="65">
        <f>SUM(H1388:H1391)</f>
        <v>11067.48</v>
      </c>
    </row>
    <row r="1393" spans="1:8" ht="15.75" outlineLevel="1">
      <c r="B1393" s="147">
        <f>+H1394</f>
        <v>12727.6</v>
      </c>
      <c r="C1393" s="28" t="s">
        <v>3384</v>
      </c>
      <c r="D1393" s="103">
        <f>INT(B1393/B1394*100)/100</f>
        <v>1272.76</v>
      </c>
      <c r="E1393" s="1" t="s">
        <v>3385</v>
      </c>
      <c r="F1393" s="42" t="s">
        <v>1689</v>
      </c>
      <c r="G1393" s="94"/>
      <c r="H1393" s="103">
        <f>FLOOR(H1392*0.15,0.01)</f>
        <v>1660.1200000000001</v>
      </c>
    </row>
    <row r="1394" spans="1:8" ht="20.100000000000001" customHeight="1" outlineLevel="1">
      <c r="A1394"/>
      <c r="B1394" s="121">
        <v>10</v>
      </c>
      <c r="F1394" s="42" t="s">
        <v>1711</v>
      </c>
      <c r="G1394" s="42"/>
      <c r="H1394" s="103">
        <f>SUM(H1392:H1393)</f>
        <v>12727.6</v>
      </c>
    </row>
    <row r="1395" spans="1:8" ht="20.100000000000001" customHeight="1" outlineLevel="1">
      <c r="A1395" s="969"/>
      <c r="B1395" s="121"/>
      <c r="F1395" s="42"/>
      <c r="G1395" s="42"/>
      <c r="H1395" s="151"/>
    </row>
    <row r="1396" spans="1:8" ht="20.100000000000001" customHeight="1" outlineLevel="1">
      <c r="A1396" s="969"/>
      <c r="B1396" s="121"/>
      <c r="F1396" s="42"/>
      <c r="G1396" s="42"/>
      <c r="H1396" s="151"/>
    </row>
    <row r="1397" spans="1:8" ht="15.75" outlineLevel="1">
      <c r="B1397" s="121"/>
      <c r="F1397" s="42"/>
      <c r="G1397" s="42"/>
    </row>
    <row r="1398" spans="1:8" ht="19.5" outlineLevel="1">
      <c r="A1398" s="282">
        <f>+A1384+1</f>
        <v>81</v>
      </c>
      <c r="B1398" s="1076" t="s">
        <v>3558</v>
      </c>
      <c r="C1398" s="1089"/>
      <c r="D1398" s="1089"/>
      <c r="E1398" s="1089"/>
      <c r="F1398" s="1089"/>
      <c r="G1398" s="1089"/>
      <c r="H1398" s="1089"/>
    </row>
    <row r="1399" spans="1:8" ht="15.75" outlineLevel="1">
      <c r="A1399" s="688" t="s">
        <v>4393</v>
      </c>
      <c r="B1399" s="1100" t="s">
        <v>2773</v>
      </c>
      <c r="C1399" s="1083"/>
      <c r="D1399" s="1083"/>
      <c r="E1399" s="1083"/>
      <c r="F1399" s="1083"/>
      <c r="G1399" s="1083"/>
      <c r="H1399" s="1083"/>
    </row>
    <row r="1400" spans="1:8" ht="31.5" outlineLevel="1">
      <c r="B1400" s="70" t="s">
        <v>3340</v>
      </c>
      <c r="C1400" s="70" t="s">
        <v>3341</v>
      </c>
      <c r="D1400" s="70" t="s">
        <v>3342</v>
      </c>
      <c r="E1400" s="70" t="s">
        <v>3343</v>
      </c>
      <c r="F1400" s="70" t="s">
        <v>3344</v>
      </c>
      <c r="G1400" s="70" t="s">
        <v>3345</v>
      </c>
      <c r="H1400" s="70" t="s">
        <v>1704</v>
      </c>
    </row>
    <row r="1401" spans="1:8" ht="17.25" outlineLevel="1">
      <c r="B1401" s="1067" t="s">
        <v>1705</v>
      </c>
      <c r="C1401" s="60" t="s">
        <v>610</v>
      </c>
      <c r="D1401" s="43">
        <v>0.5</v>
      </c>
      <c r="E1401" s="57" t="s">
        <v>1707</v>
      </c>
      <c r="F1401" s="111">
        <f>'update Rate'!F5</f>
        <v>525</v>
      </c>
      <c r="G1401" s="111">
        <f>FLOOR(D1401*F1401,0.01)</f>
        <v>262.5</v>
      </c>
      <c r="H1401" s="112"/>
    </row>
    <row r="1402" spans="1:8" ht="18" customHeight="1" outlineLevel="1">
      <c r="B1402" s="1070"/>
      <c r="C1402" s="55" t="s">
        <v>1647</v>
      </c>
      <c r="D1402" s="45">
        <v>1.5</v>
      </c>
      <c r="E1402" s="58" t="s">
        <v>1707</v>
      </c>
      <c r="F1402" s="113">
        <f>'update Rate'!F4</f>
        <v>375</v>
      </c>
      <c r="G1402" s="113">
        <f>FLOOR(D1402*F1402,0.01)</f>
        <v>562.5</v>
      </c>
      <c r="H1402" s="125">
        <f>SUM(G1401+G1402)</f>
        <v>825</v>
      </c>
    </row>
    <row r="1403" spans="1:8" ht="3.75" customHeight="1" outlineLevel="1">
      <c r="B1403" s="1069" t="s">
        <v>2330</v>
      </c>
      <c r="C1403" s="57"/>
      <c r="D1403" s="52"/>
      <c r="E1403" s="55"/>
      <c r="F1403" s="43"/>
      <c r="G1403" s="43"/>
      <c r="H1403" s="86"/>
    </row>
    <row r="1404" spans="1:8" ht="18" customHeight="1" outlineLevel="1">
      <c r="B1404" s="1094"/>
      <c r="C1404" s="55" t="s">
        <v>3379</v>
      </c>
      <c r="D1404" s="44">
        <v>125</v>
      </c>
      <c r="E1404" s="55" t="s">
        <v>803</v>
      </c>
      <c r="F1404" s="113">
        <f>'update Rate'!$F$128</f>
        <v>16</v>
      </c>
      <c r="G1404" s="113">
        <f>FLOOR(D1404*F1404,0.01)</f>
        <v>2000</v>
      </c>
      <c r="H1404" s="125"/>
    </row>
    <row r="1405" spans="1:8" ht="18" customHeight="1" outlineLevel="1">
      <c r="B1405" s="1073"/>
      <c r="C1405" s="64"/>
      <c r="D1405" s="265"/>
      <c r="E1405" s="64"/>
      <c r="F1405" s="65"/>
      <c r="G1405" s="65"/>
      <c r="H1405" s="127">
        <f>SUM(G1404)</f>
        <v>2000</v>
      </c>
    </row>
    <row r="1406" spans="1:8" ht="18" customHeight="1" outlineLevel="1">
      <c r="F1406" s="42" t="s">
        <v>1708</v>
      </c>
      <c r="G1406" s="94"/>
      <c r="H1406" s="65">
        <f>SUM(H1402:H1405)</f>
        <v>2825</v>
      </c>
    </row>
    <row r="1407" spans="1:8" ht="18" customHeight="1" outlineLevel="1">
      <c r="B1407" s="3" t="s">
        <v>1710</v>
      </c>
      <c r="F1407" s="42" t="s">
        <v>1689</v>
      </c>
      <c r="G1407" s="94"/>
      <c r="H1407" s="103">
        <f>FLOOR(H1406*0.15,0.01)</f>
        <v>423.75</v>
      </c>
    </row>
    <row r="1408" spans="1:8" ht="15.75" outlineLevel="1">
      <c r="A1408"/>
      <c r="B1408" s="147">
        <f>+H1408</f>
        <v>3248.75</v>
      </c>
      <c r="C1408" s="28" t="s">
        <v>3384</v>
      </c>
      <c r="D1408" s="103">
        <f>INT(B1408/B1409*100)/100</f>
        <v>324.87</v>
      </c>
      <c r="E1408" s="1" t="s">
        <v>3385</v>
      </c>
      <c r="F1408" s="42" t="s">
        <v>1711</v>
      </c>
      <c r="G1408" s="42"/>
      <c r="H1408" s="103">
        <f>SUM(H1406:H1407)</f>
        <v>3248.75</v>
      </c>
    </row>
    <row r="1409" spans="1:8" ht="20.100000000000001" customHeight="1">
      <c r="A1409" s="28"/>
      <c r="B1409" s="121">
        <v>10</v>
      </c>
      <c r="F1409" s="42"/>
      <c r="G1409" s="42"/>
      <c r="H1409" s="90"/>
    </row>
    <row r="1410" spans="1:8" ht="20.100000000000001" customHeight="1">
      <c r="A1410" s="28"/>
      <c r="B1410" s="121"/>
      <c r="F1410" s="42"/>
      <c r="G1410" s="42"/>
      <c r="H1410" s="90"/>
    </row>
    <row r="1412" spans="1:8" ht="19.5">
      <c r="A1412" s="282">
        <f>+A1398+1</f>
        <v>82</v>
      </c>
      <c r="B1412" s="1076" t="s">
        <v>3559</v>
      </c>
      <c r="C1412" s="1089"/>
      <c r="D1412" s="1089"/>
      <c r="E1412" s="1089"/>
      <c r="F1412" s="1089"/>
      <c r="G1412" s="1089"/>
      <c r="H1412" s="1089"/>
    </row>
    <row r="1413" spans="1:8" ht="15.75">
      <c r="A1413" s="688" t="s">
        <v>4394</v>
      </c>
      <c r="B1413" s="1100" t="s">
        <v>2618</v>
      </c>
      <c r="C1413" s="1083"/>
      <c r="D1413" s="1083"/>
      <c r="E1413" s="1083"/>
      <c r="F1413" s="1083"/>
      <c r="G1413" s="1083"/>
      <c r="H1413" s="1083"/>
    </row>
    <row r="1414" spans="1:8" ht="31.5">
      <c r="B1414" s="70" t="s">
        <v>3340</v>
      </c>
      <c r="C1414" s="70" t="s">
        <v>3341</v>
      </c>
      <c r="D1414" s="70" t="s">
        <v>3342</v>
      </c>
      <c r="E1414" s="70" t="s">
        <v>3343</v>
      </c>
      <c r="F1414" s="70" t="s">
        <v>3344</v>
      </c>
      <c r="G1414" s="70" t="s">
        <v>3345</v>
      </c>
      <c r="H1414" s="70" t="s">
        <v>1704</v>
      </c>
    </row>
    <row r="1415" spans="1:8" ht="17.25">
      <c r="B1415" s="1067" t="s">
        <v>1705</v>
      </c>
      <c r="C1415" s="60" t="s">
        <v>610</v>
      </c>
      <c r="D1415" s="50">
        <v>0.5</v>
      </c>
      <c r="E1415" s="57" t="s">
        <v>1707</v>
      </c>
      <c r="F1415" s="111">
        <f>'update Rate'!F5</f>
        <v>525</v>
      </c>
      <c r="G1415" s="111">
        <f>FLOOR(D1415*F1415,0.01)</f>
        <v>262.5</v>
      </c>
      <c r="H1415" s="112"/>
    </row>
    <row r="1416" spans="1:8" ht="18" customHeight="1">
      <c r="B1416" s="1070"/>
      <c r="C1416" s="55" t="s">
        <v>1647</v>
      </c>
      <c r="D1416" s="49">
        <v>0.5</v>
      </c>
      <c r="E1416" s="58" t="s">
        <v>1707</v>
      </c>
      <c r="F1416" s="113">
        <f>'update Rate'!F4</f>
        <v>375</v>
      </c>
      <c r="G1416" s="113">
        <f>FLOOR(D1416*F1416,0.01)</f>
        <v>187.5</v>
      </c>
      <c r="H1416" s="125">
        <f>SUM(G1415+G1416)</f>
        <v>450</v>
      </c>
    </row>
    <row r="1417" spans="1:8" ht="18" customHeight="1">
      <c r="B1417" s="1069" t="s">
        <v>2330</v>
      </c>
      <c r="C1417" s="57"/>
      <c r="D1417" s="52"/>
      <c r="E1417" s="55"/>
      <c r="F1417" s="114"/>
      <c r="G1417" s="43"/>
      <c r="H1417" s="86"/>
    </row>
    <row r="1418" spans="1:8" ht="18" customHeight="1">
      <c r="B1418" s="1094"/>
      <c r="C1418" s="55" t="s">
        <v>3380</v>
      </c>
      <c r="D1418" s="52">
        <v>80</v>
      </c>
      <c r="E1418" s="55" t="s">
        <v>803</v>
      </c>
      <c r="F1418" s="113">
        <f>'update Rate'!$F$131</f>
        <v>28</v>
      </c>
      <c r="G1418" s="113">
        <f>FLOOR(D1418*F1418,0.01)</f>
        <v>2240</v>
      </c>
      <c r="H1418" s="125"/>
    </row>
    <row r="1419" spans="1:8" ht="18" customHeight="1">
      <c r="B1419" s="1073"/>
      <c r="C1419" s="64"/>
      <c r="D1419" s="265"/>
      <c r="E1419" s="64"/>
      <c r="F1419" s="65"/>
      <c r="G1419" s="65"/>
      <c r="H1419" s="127">
        <f>SUM(G1418)</f>
        <v>2240</v>
      </c>
    </row>
    <row r="1420" spans="1:8" ht="18" customHeight="1">
      <c r="F1420" s="42" t="s">
        <v>1708</v>
      </c>
      <c r="G1420" s="94"/>
      <c r="H1420" s="65">
        <f>SUM(H1416:H1419)</f>
        <v>2690</v>
      </c>
    </row>
    <row r="1421" spans="1:8" ht="18" customHeight="1">
      <c r="B1421" s="3" t="s">
        <v>1538</v>
      </c>
      <c r="F1421" s="42" t="s">
        <v>1689</v>
      </c>
      <c r="G1421" s="94"/>
      <c r="H1421" s="103">
        <f>FLOOR(H1420*0.15,0.01)</f>
        <v>403.5</v>
      </c>
    </row>
    <row r="1422" spans="1:8" ht="15.75">
      <c r="A1422"/>
      <c r="B1422" s="147">
        <f>+H1422</f>
        <v>3093.5</v>
      </c>
      <c r="C1422" s="28" t="s">
        <v>3384</v>
      </c>
      <c r="D1422" s="103">
        <f>INT(B1422/B1423*100)/100</f>
        <v>309.35000000000002</v>
      </c>
      <c r="E1422" s="1" t="s">
        <v>3385</v>
      </c>
      <c r="F1422" s="42" t="s">
        <v>1711</v>
      </c>
      <c r="G1422" s="42"/>
      <c r="H1422" s="103">
        <f>SUM(H1420:H1421)</f>
        <v>3093.5</v>
      </c>
    </row>
    <row r="1423" spans="1:8">
      <c r="B1423" s="121">
        <v>10</v>
      </c>
    </row>
    <row r="1424" spans="1:8">
      <c r="B1424" s="121"/>
    </row>
    <row r="1425" spans="1:8" ht="19.5">
      <c r="A1425" s="145">
        <f>+A1412+1</f>
        <v>83</v>
      </c>
      <c r="B1425" s="1089" t="s">
        <v>3822</v>
      </c>
      <c r="C1425" s="1089"/>
      <c r="D1425" s="1089"/>
      <c r="E1425" s="1089"/>
      <c r="F1425" s="1089"/>
      <c r="G1425" s="1089"/>
      <c r="H1425" s="1089"/>
    </row>
    <row r="1426" spans="1:8" ht="19.5">
      <c r="A1426" s="688" t="s">
        <v>3820</v>
      </c>
      <c r="B1426" s="1149"/>
      <c r="C1426" s="1089"/>
      <c r="D1426" s="1089"/>
      <c r="E1426" s="1089"/>
      <c r="F1426" s="1089"/>
      <c r="G1426" s="1089"/>
      <c r="H1426" s="1089"/>
    </row>
    <row r="1427" spans="1:8">
      <c r="B1427" s="1092" t="s">
        <v>1594</v>
      </c>
      <c r="C1427" s="1092"/>
      <c r="D1427" s="1092"/>
      <c r="E1427" s="1092"/>
      <c r="F1427" s="1092"/>
      <c r="G1427" s="1092"/>
      <c r="H1427" s="1092"/>
    </row>
    <row r="1428" spans="1:8" ht="31.5">
      <c r="B1428" s="70" t="s">
        <v>3340</v>
      </c>
      <c r="C1428" s="70" t="s">
        <v>3341</v>
      </c>
      <c r="D1428" s="70" t="s">
        <v>3342</v>
      </c>
      <c r="E1428" s="70" t="s">
        <v>3343</v>
      </c>
      <c r="F1428" s="70" t="s">
        <v>3344</v>
      </c>
      <c r="G1428" s="70" t="s">
        <v>3345</v>
      </c>
      <c r="H1428" s="70" t="s">
        <v>1704</v>
      </c>
    </row>
    <row r="1429" spans="1:8" ht="17.25">
      <c r="B1429" s="60" t="s">
        <v>1705</v>
      </c>
      <c r="C1429" s="60" t="s">
        <v>2899</v>
      </c>
      <c r="D1429" s="43">
        <v>1.1000000000000001</v>
      </c>
      <c r="E1429" s="57" t="s">
        <v>1707</v>
      </c>
      <c r="F1429" s="111">
        <f>mason</f>
        <v>525</v>
      </c>
      <c r="G1429" s="111">
        <f t="shared" ref="G1429:G1434" si="44">FLOOR(D1429*F1429,0.01)</f>
        <v>577.5</v>
      </c>
      <c r="H1429" s="111"/>
    </row>
    <row r="1430" spans="1:8" ht="17.25">
      <c r="B1430" s="64"/>
      <c r="C1430" s="55" t="s">
        <v>2176</v>
      </c>
      <c r="D1430" s="44">
        <v>1.25</v>
      </c>
      <c r="E1430" s="55" t="s">
        <v>1707</v>
      </c>
      <c r="F1430" s="65">
        <f>'update Rate'!E4</f>
        <v>375</v>
      </c>
      <c r="G1430" s="126">
        <f t="shared" si="44"/>
        <v>468.75</v>
      </c>
      <c r="H1430" s="126">
        <f>SUM(G1429:G1430)</f>
        <v>1046.25</v>
      </c>
    </row>
    <row r="1431" spans="1:8" ht="30">
      <c r="B1431" s="1107" t="s">
        <v>2330</v>
      </c>
      <c r="C1431" s="760" t="s">
        <v>3824</v>
      </c>
      <c r="D1431" s="43">
        <v>12</v>
      </c>
      <c r="E1431" s="57" t="s">
        <v>3170</v>
      </c>
      <c r="F1431" s="167">
        <f>'update Rate'!F116</f>
        <v>1237.4000000000001</v>
      </c>
      <c r="G1431" s="167">
        <f t="shared" si="44"/>
        <v>14848.800000000001</v>
      </c>
      <c r="H1431" s="214"/>
    </row>
    <row r="1432" spans="1:8" ht="17.25">
      <c r="B1432" s="1159"/>
      <c r="C1432" s="62" t="s">
        <v>1302</v>
      </c>
      <c r="D1432" s="44">
        <v>30</v>
      </c>
      <c r="E1432" s="55" t="s">
        <v>803</v>
      </c>
      <c r="F1432" s="120">
        <f>'update Rate'!F123</f>
        <v>23</v>
      </c>
      <c r="G1432" s="168">
        <f t="shared" si="44"/>
        <v>690</v>
      </c>
      <c r="H1432" s="214"/>
    </row>
    <row r="1433" spans="1:8" ht="17.25">
      <c r="B1433" s="1108"/>
      <c r="C1433" s="62" t="s">
        <v>3168</v>
      </c>
      <c r="D1433" s="44">
        <v>25</v>
      </c>
      <c r="E1433" s="55" t="s">
        <v>803</v>
      </c>
      <c r="F1433" s="113">
        <f>'update Rate'!F125</f>
        <v>7.85</v>
      </c>
      <c r="G1433" s="168">
        <f t="shared" si="44"/>
        <v>196.25</v>
      </c>
      <c r="H1433" s="214"/>
    </row>
    <row r="1434" spans="1:8" ht="16.5">
      <c r="B1434" s="1109"/>
      <c r="C1434" s="232" t="s">
        <v>3169</v>
      </c>
      <c r="D1434" s="45">
        <v>55</v>
      </c>
      <c r="E1434" s="216" t="s">
        <v>803</v>
      </c>
      <c r="F1434" s="65">
        <f>'update Rate'!F126</f>
        <v>3</v>
      </c>
      <c r="G1434" s="170">
        <f t="shared" si="44"/>
        <v>165</v>
      </c>
      <c r="H1434" s="65">
        <f>SUM(G1431:G1434)</f>
        <v>15900.050000000001</v>
      </c>
    </row>
    <row r="1435" spans="1:8" ht="15.75">
      <c r="F1435" s="42" t="s">
        <v>1708</v>
      </c>
      <c r="G1435" s="42"/>
      <c r="H1435" s="103">
        <f>SUM(H1430:H1434)</f>
        <v>16946.300000000003</v>
      </c>
    </row>
    <row r="1436" spans="1:8" ht="15.75">
      <c r="B1436" s="33" t="s">
        <v>1710</v>
      </c>
      <c r="F1436" s="42" t="s">
        <v>1689</v>
      </c>
      <c r="G1436" s="42"/>
      <c r="H1436" s="103">
        <f>FLOOR(H1435*0.15,0.01)</f>
        <v>2541.94</v>
      </c>
    </row>
    <row r="1437" spans="1:8" ht="15.75">
      <c r="B1437" s="151">
        <f>+H1437</f>
        <v>19488.240000000002</v>
      </c>
      <c r="C1437" s="233" t="s">
        <v>3384</v>
      </c>
      <c r="D1437" s="103">
        <f>B1437/B1438</f>
        <v>1948.8240000000001</v>
      </c>
      <c r="E1437" s="1" t="s">
        <v>3385</v>
      </c>
      <c r="F1437" s="42" t="s">
        <v>1711</v>
      </c>
      <c r="G1437" s="42"/>
      <c r="H1437" s="103">
        <f>SUM(H1435:H1436)</f>
        <v>19488.240000000002</v>
      </c>
    </row>
    <row r="1438" spans="1:8" ht="17.25">
      <c r="B1438" s="235">
        <v>10</v>
      </c>
      <c r="F1438" s="42"/>
      <c r="G1438" s="42"/>
      <c r="H1438" s="19"/>
    </row>
    <row r="1439" spans="1:8" ht="17.25">
      <c r="B1439" s="236"/>
      <c r="F1439" s="42"/>
      <c r="G1439" s="42"/>
      <c r="H1439" s="19"/>
    </row>
    <row r="1440" spans="1:8" ht="17.25">
      <c r="B1440" s="236"/>
      <c r="F1440" s="42"/>
      <c r="G1440" s="42"/>
      <c r="H1440" s="19"/>
    </row>
    <row r="1442" spans="1:8">
      <c r="A1442" s="145">
        <f>A1425+1</f>
        <v>84</v>
      </c>
    </row>
    <row r="1443" spans="1:8" ht="19.5">
      <c r="A1443" s="688" t="s">
        <v>3820</v>
      </c>
      <c r="B1443" s="1089" t="s">
        <v>4318</v>
      </c>
      <c r="C1443" s="1089"/>
      <c r="D1443" s="1089"/>
      <c r="E1443" s="1089"/>
      <c r="F1443" s="1089"/>
      <c r="G1443" s="1089"/>
      <c r="H1443" s="1089"/>
    </row>
    <row r="1444" spans="1:8">
      <c r="B1444" s="1092" t="s">
        <v>2618</v>
      </c>
      <c r="C1444" s="1092"/>
      <c r="D1444" s="1092"/>
      <c r="E1444" s="1092"/>
      <c r="F1444" s="1092"/>
      <c r="G1444" s="1092"/>
      <c r="H1444" s="1092"/>
    </row>
    <row r="1445" spans="1:8" ht="31.5">
      <c r="B1445" s="70" t="s">
        <v>3340</v>
      </c>
      <c r="C1445" s="70" t="s">
        <v>3341</v>
      </c>
      <c r="D1445" s="70" t="s">
        <v>3342</v>
      </c>
      <c r="E1445" s="70" t="s">
        <v>3343</v>
      </c>
      <c r="F1445" s="70" t="s">
        <v>3344</v>
      </c>
      <c r="G1445" s="70" t="s">
        <v>3345</v>
      </c>
      <c r="H1445" s="70" t="s">
        <v>1704</v>
      </c>
    </row>
    <row r="1446" spans="1:8" ht="17.25">
      <c r="B1446" s="60" t="s">
        <v>1705</v>
      </c>
      <c r="C1446" s="60" t="s">
        <v>2899</v>
      </c>
      <c r="D1446" s="43">
        <v>2</v>
      </c>
      <c r="E1446" s="57" t="s">
        <v>1707</v>
      </c>
      <c r="F1446" s="111">
        <f>mason</f>
        <v>525</v>
      </c>
      <c r="G1446" s="111">
        <f>FLOOR(D1446*F1446,0.01)</f>
        <v>1050</v>
      </c>
      <c r="H1446" s="111"/>
    </row>
    <row r="1447" spans="1:8" ht="17.25">
      <c r="B1447" s="64"/>
      <c r="C1447" s="55" t="s">
        <v>2176</v>
      </c>
      <c r="D1447" s="44">
        <v>3</v>
      </c>
      <c r="E1447" s="55" t="s">
        <v>1707</v>
      </c>
      <c r="F1447" s="65">
        <f>'update Rate'!F4</f>
        <v>375</v>
      </c>
      <c r="G1447" s="126">
        <f>FLOOR(D1447*F1447,0.01)</f>
        <v>1125</v>
      </c>
      <c r="H1447" s="126">
        <f>SUM(G1446:G1447)</f>
        <v>2175</v>
      </c>
    </row>
    <row r="1448" spans="1:8" ht="17.25">
      <c r="B1448" s="1107" t="s">
        <v>2330</v>
      </c>
      <c r="C1448" s="213" t="s">
        <v>4319</v>
      </c>
      <c r="D1448" s="43">
        <v>12</v>
      </c>
      <c r="E1448" s="243" t="s">
        <v>2938</v>
      </c>
      <c r="F1448" s="763">
        <f>200*3.28</f>
        <v>656</v>
      </c>
      <c r="G1448" s="167">
        <f>FLOOR(D1448*F1448,0.01)</f>
        <v>7872</v>
      </c>
      <c r="H1448" s="761"/>
    </row>
    <row r="1449" spans="1:8" ht="18">
      <c r="B1449" s="1166"/>
      <c r="C1449" s="215" t="s">
        <v>1303</v>
      </c>
      <c r="D1449" s="762" t="s">
        <v>3171</v>
      </c>
      <c r="E1449" s="58" t="s">
        <v>1643</v>
      </c>
      <c r="F1449" s="126"/>
      <c r="G1449" s="170">
        <v>23</v>
      </c>
      <c r="H1449" s="126">
        <f>SUM(G1448:G1449)</f>
        <v>7895</v>
      </c>
    </row>
    <row r="1450" spans="1:8" ht="15.75">
      <c r="F1450" s="42" t="s">
        <v>1708</v>
      </c>
      <c r="G1450" s="42"/>
      <c r="H1450" s="103">
        <f>SUM(H1446:H1449)</f>
        <v>10070</v>
      </c>
    </row>
    <row r="1451" spans="1:8" ht="15.75">
      <c r="B1451" s="33" t="s">
        <v>1538</v>
      </c>
      <c r="F1451" s="42" t="s">
        <v>1689</v>
      </c>
      <c r="G1451" s="42"/>
      <c r="H1451" s="103">
        <f>FLOOR(H1450*0.15,0.01)</f>
        <v>1510.5</v>
      </c>
    </row>
    <row r="1452" spans="1:8" ht="15.75">
      <c r="B1452" s="151">
        <f>+H1452</f>
        <v>11580.5</v>
      </c>
      <c r="C1452" s="233" t="s">
        <v>3384</v>
      </c>
      <c r="D1452" s="103">
        <f>B1452/B1453</f>
        <v>1158.05</v>
      </c>
      <c r="E1452" s="1" t="s">
        <v>3385</v>
      </c>
      <c r="F1452" s="42" t="s">
        <v>1711</v>
      </c>
      <c r="G1452" s="42"/>
      <c r="H1452" s="103">
        <f>SUM(H1450:H1451)</f>
        <v>11580.5</v>
      </c>
    </row>
    <row r="1453" spans="1:8" ht="17.25">
      <c r="B1453" s="235">
        <v>10</v>
      </c>
      <c r="F1453" s="42"/>
      <c r="G1453" s="42"/>
      <c r="H1453" s="19"/>
    </row>
    <row r="1454" spans="1:8" ht="19.5">
      <c r="A1454" s="145">
        <f>+A1442+1</f>
        <v>85</v>
      </c>
      <c r="B1454" s="1089" t="s">
        <v>3823</v>
      </c>
      <c r="C1454" s="1089"/>
      <c r="D1454" s="1089"/>
      <c r="E1454" s="1089"/>
      <c r="F1454" s="1089"/>
      <c r="G1454" s="1089"/>
      <c r="H1454" s="1089"/>
    </row>
    <row r="1455" spans="1:8" ht="19.5">
      <c r="A1455" s="688" t="s">
        <v>3837</v>
      </c>
      <c r="B1455" s="1149"/>
      <c r="C1455" s="1089"/>
      <c r="D1455" s="1089"/>
      <c r="E1455" s="1089"/>
      <c r="F1455" s="1089"/>
      <c r="G1455" s="1089"/>
      <c r="H1455" s="1089"/>
    </row>
    <row r="1456" spans="1:8">
      <c r="B1456" s="1092" t="s">
        <v>1594</v>
      </c>
      <c r="C1456" s="1092"/>
      <c r="D1456" s="1092"/>
      <c r="E1456" s="1092"/>
      <c r="F1456" s="1092"/>
      <c r="G1456" s="1092"/>
      <c r="H1456" s="1092"/>
    </row>
    <row r="1457" spans="1:8" ht="31.5">
      <c r="B1457" s="70" t="s">
        <v>3340</v>
      </c>
      <c r="C1457" s="70" t="s">
        <v>3341</v>
      </c>
      <c r="D1457" s="70" t="s">
        <v>3342</v>
      </c>
      <c r="E1457" s="70" t="s">
        <v>3343</v>
      </c>
      <c r="F1457" s="70" t="s">
        <v>3344</v>
      </c>
      <c r="G1457" s="70" t="s">
        <v>3345</v>
      </c>
      <c r="H1457" s="70" t="s">
        <v>1704</v>
      </c>
    </row>
    <row r="1458" spans="1:8" ht="17.25">
      <c r="B1458" s="703" t="s">
        <v>1705</v>
      </c>
      <c r="C1458" s="703" t="s">
        <v>2899</v>
      </c>
      <c r="D1458" s="43">
        <v>1.1000000000000001</v>
      </c>
      <c r="E1458" s="57" t="s">
        <v>1707</v>
      </c>
      <c r="F1458" s="111">
        <f>mason</f>
        <v>525</v>
      </c>
      <c r="G1458" s="111">
        <f t="shared" ref="G1458:G1463" si="45">FLOOR(D1458*F1458,0.01)</f>
        <v>577.5</v>
      </c>
      <c r="H1458" s="111"/>
    </row>
    <row r="1459" spans="1:8" ht="17.25">
      <c r="B1459" s="64"/>
      <c r="C1459" s="55" t="s">
        <v>2176</v>
      </c>
      <c r="D1459" s="44">
        <v>1.25</v>
      </c>
      <c r="E1459" s="55" t="s">
        <v>1707</v>
      </c>
      <c r="F1459" s="65">
        <f>'update Rate'!F4</f>
        <v>375</v>
      </c>
      <c r="G1459" s="126">
        <f t="shared" si="45"/>
        <v>468.75</v>
      </c>
      <c r="H1459" s="126">
        <f>SUM(G1458:G1459)</f>
        <v>1046.25</v>
      </c>
    </row>
    <row r="1460" spans="1:8" ht="17.25">
      <c r="B1460" s="1107" t="s">
        <v>2330</v>
      </c>
      <c r="C1460" s="760" t="s">
        <v>3821</v>
      </c>
      <c r="D1460" s="43">
        <v>12</v>
      </c>
      <c r="E1460" s="57" t="s">
        <v>3170</v>
      </c>
      <c r="F1460" s="167">
        <f>'update Rate'!F115</f>
        <v>1076</v>
      </c>
      <c r="G1460" s="167">
        <f t="shared" si="45"/>
        <v>12912</v>
      </c>
      <c r="H1460" s="214"/>
    </row>
    <row r="1461" spans="1:8" ht="17.25">
      <c r="B1461" s="1159"/>
      <c r="C1461" s="62" t="s">
        <v>1302</v>
      </c>
      <c r="D1461" s="44">
        <v>30</v>
      </c>
      <c r="E1461" s="55" t="s">
        <v>803</v>
      </c>
      <c r="F1461" s="120">
        <f>'update Rate'!F123</f>
        <v>23</v>
      </c>
      <c r="G1461" s="168">
        <f t="shared" si="45"/>
        <v>690</v>
      </c>
      <c r="H1461" s="214"/>
    </row>
    <row r="1462" spans="1:8" ht="17.25">
      <c r="B1462" s="1108"/>
      <c r="C1462" s="62" t="s">
        <v>3168</v>
      </c>
      <c r="D1462" s="44">
        <v>25</v>
      </c>
      <c r="E1462" s="55" t="s">
        <v>803</v>
      </c>
      <c r="F1462" s="113">
        <f>'update Rate'!F125</f>
        <v>7.85</v>
      </c>
      <c r="G1462" s="168">
        <f t="shared" si="45"/>
        <v>196.25</v>
      </c>
      <c r="H1462" s="214"/>
    </row>
    <row r="1463" spans="1:8" ht="16.5">
      <c r="B1463" s="1109"/>
      <c r="C1463" s="232" t="s">
        <v>3169</v>
      </c>
      <c r="D1463" s="45">
        <v>55</v>
      </c>
      <c r="E1463" s="216" t="s">
        <v>803</v>
      </c>
      <c r="F1463" s="65">
        <f>'update Rate'!F126</f>
        <v>3</v>
      </c>
      <c r="G1463" s="170">
        <f t="shared" si="45"/>
        <v>165</v>
      </c>
      <c r="H1463" s="65">
        <f>SUM(G1460:G1463)</f>
        <v>13963.25</v>
      </c>
    </row>
    <row r="1464" spans="1:8" ht="15.75">
      <c r="F1464" s="42" t="s">
        <v>1708</v>
      </c>
      <c r="G1464" s="42"/>
      <c r="H1464" s="103">
        <f>SUM(H1459:H1463)</f>
        <v>15009.5</v>
      </c>
    </row>
    <row r="1465" spans="1:8" ht="15.75">
      <c r="B1465" s="33" t="s">
        <v>1710</v>
      </c>
      <c r="F1465" s="42" t="s">
        <v>1689</v>
      </c>
      <c r="G1465" s="42"/>
      <c r="H1465" s="103">
        <f>FLOOR(H1464*0.15,0.01)</f>
        <v>2251.42</v>
      </c>
    </row>
    <row r="1466" spans="1:8" ht="15.75">
      <c r="B1466" s="151">
        <f>+H1466</f>
        <v>17260.919999999998</v>
      </c>
      <c r="C1466" s="233" t="s">
        <v>3384</v>
      </c>
      <c r="D1466" s="103">
        <f>B1466/B1467</f>
        <v>1726.0919999999999</v>
      </c>
      <c r="E1466" s="1" t="s">
        <v>3385</v>
      </c>
      <c r="F1466" s="42" t="s">
        <v>1711</v>
      </c>
      <c r="G1466" s="42"/>
      <c r="H1466" s="103">
        <f>SUM(H1464:H1465)</f>
        <v>17260.919999999998</v>
      </c>
    </row>
    <row r="1467" spans="1:8" ht="17.25">
      <c r="B1467" s="235">
        <v>10</v>
      </c>
      <c r="F1467" s="42"/>
      <c r="G1467" s="42"/>
      <c r="H1467" s="19"/>
    </row>
    <row r="1468" spans="1:8" ht="17.25">
      <c r="B1468" s="236"/>
      <c r="F1468" s="42"/>
      <c r="G1468" s="42"/>
      <c r="H1468" s="19"/>
    </row>
    <row r="1469" spans="1:8" ht="17.25">
      <c r="B1469" s="236"/>
      <c r="F1469" s="42"/>
      <c r="G1469" s="42"/>
      <c r="H1469" s="19"/>
    </row>
    <row r="1470" spans="1:8" ht="17.25">
      <c r="B1470" s="236"/>
      <c r="F1470" s="42"/>
      <c r="G1470" s="42"/>
      <c r="H1470" s="19"/>
    </row>
    <row r="1471" spans="1:8" ht="19.5">
      <c r="A1471" s="282">
        <f>+A1454+1</f>
        <v>86</v>
      </c>
      <c r="B1471" s="1076" t="s">
        <v>3825</v>
      </c>
      <c r="C1471" s="1089"/>
      <c r="D1471" s="1089"/>
      <c r="E1471" s="1089"/>
      <c r="F1471" s="1089"/>
      <c r="G1471" s="1089"/>
      <c r="H1471" s="1089"/>
    </row>
    <row r="1472" spans="1:8" ht="15.75">
      <c r="A1472" s="688" t="s">
        <v>4395</v>
      </c>
      <c r="B1472" s="1129" t="s">
        <v>2529</v>
      </c>
      <c r="C1472" s="1130"/>
      <c r="D1472" s="1130"/>
      <c r="E1472" s="1130"/>
      <c r="F1472" s="1130"/>
      <c r="G1472" s="1130"/>
      <c r="H1472" s="1130"/>
    </row>
    <row r="1473" spans="1:8" ht="31.5">
      <c r="B1473" s="70" t="s">
        <v>3340</v>
      </c>
      <c r="C1473" s="70" t="s">
        <v>3341</v>
      </c>
      <c r="D1473" s="70" t="s">
        <v>3342</v>
      </c>
      <c r="E1473" s="70" t="s">
        <v>3343</v>
      </c>
      <c r="F1473" s="70" t="s">
        <v>3344</v>
      </c>
      <c r="G1473" s="70" t="s">
        <v>3345</v>
      </c>
      <c r="H1473" s="70" t="s">
        <v>1704</v>
      </c>
    </row>
    <row r="1474" spans="1:8" ht="20.100000000000001" customHeight="1">
      <c r="B1474" s="1067" t="s">
        <v>1705</v>
      </c>
      <c r="C1474" s="961" t="s">
        <v>610</v>
      </c>
      <c r="D1474" s="43">
        <v>17.649999999999999</v>
      </c>
      <c r="E1474" s="11" t="s">
        <v>1707</v>
      </c>
      <c r="F1474" s="111">
        <f>'update Rate'!F5</f>
        <v>525</v>
      </c>
      <c r="G1474" s="111">
        <f>FLOOR(D1474*F1474,0.01)</f>
        <v>9266.25</v>
      </c>
      <c r="H1474" s="112"/>
    </row>
    <row r="1475" spans="1:8" ht="20.100000000000001" customHeight="1">
      <c r="B1475" s="1124"/>
      <c r="C1475" s="58" t="s">
        <v>1647</v>
      </c>
      <c r="D1475" s="45">
        <v>1.76</v>
      </c>
      <c r="E1475" s="15" t="s">
        <v>1707</v>
      </c>
      <c r="F1475" s="113">
        <f>'update Rate'!F4</f>
        <v>375</v>
      </c>
      <c r="G1475" s="65">
        <f>FLOOR(D1475*F1475,0.01)</f>
        <v>660</v>
      </c>
      <c r="H1475" s="125">
        <f>SUM(G1474+G1475)</f>
        <v>9926.25</v>
      </c>
    </row>
    <row r="1476" spans="1:8" ht="20.100000000000001" customHeight="1">
      <c r="B1476" s="1069" t="s">
        <v>2330</v>
      </c>
      <c r="C1476" s="55" t="s">
        <v>2178</v>
      </c>
      <c r="D1476" s="44">
        <v>1.05</v>
      </c>
      <c r="E1476" s="12" t="s">
        <v>2530</v>
      </c>
      <c r="F1476" s="114">
        <f>'update Rate'!$F$52</f>
        <v>120054</v>
      </c>
      <c r="G1476" s="113">
        <f>FLOOR(D1476*F1476,0.01)</f>
        <v>126056.7</v>
      </c>
      <c r="H1476" s="86"/>
    </row>
    <row r="1477" spans="1:8" ht="20.100000000000001" customHeight="1">
      <c r="B1477" s="1124"/>
      <c r="C1477" s="58" t="s">
        <v>2272</v>
      </c>
      <c r="D1477" s="764" t="s">
        <v>3171</v>
      </c>
      <c r="E1477" s="58" t="s">
        <v>654</v>
      </c>
      <c r="F1477" s="58" t="s">
        <v>3173</v>
      </c>
      <c r="G1477" s="65">
        <v>60</v>
      </c>
      <c r="H1477" s="127">
        <f>SUM(G1476:G1477)</f>
        <v>126116.7</v>
      </c>
    </row>
    <row r="1478" spans="1:8" ht="20.100000000000001" customHeight="1">
      <c r="F1478" s="1" t="s">
        <v>1708</v>
      </c>
      <c r="H1478" s="65">
        <f>SUM(H1474:H1477)</f>
        <v>136042.95000000001</v>
      </c>
    </row>
    <row r="1479" spans="1:8" ht="20.100000000000001" customHeight="1">
      <c r="B1479" s="1" t="s">
        <v>3658</v>
      </c>
      <c r="F1479" s="1" t="s">
        <v>1689</v>
      </c>
      <c r="H1479" s="103">
        <f>FLOOR(H1478*0.15,0.01)</f>
        <v>20406.439999999999</v>
      </c>
    </row>
    <row r="1480" spans="1:8">
      <c r="A1480" s="28" t="s">
        <v>3384</v>
      </c>
      <c r="B1480" s="103">
        <f>+H1480</f>
        <v>156449.39000000001</v>
      </c>
      <c r="C1480" s="1" t="s">
        <v>3385</v>
      </c>
      <c r="D1480" s="188"/>
      <c r="F1480" s="1" t="s">
        <v>1711</v>
      </c>
      <c r="H1480" s="103">
        <f>SUM(H1478:H1479)</f>
        <v>156449.39000000001</v>
      </c>
    </row>
    <row r="1481" spans="1:8" ht="15" customHeight="1">
      <c r="A1481" s="28"/>
      <c r="B1481" s="151"/>
      <c r="H1481" s="151"/>
    </row>
    <row r="1482" spans="1:8" ht="15" customHeight="1">
      <c r="A1482" s="28"/>
      <c r="B1482" s="151"/>
      <c r="H1482" s="151"/>
    </row>
    <row r="1483" spans="1:8" ht="15" customHeight="1">
      <c r="A1483" s="28"/>
      <c r="B1483" s="151"/>
      <c r="H1483" s="151"/>
    </row>
    <row r="1484" spans="1:8" ht="20.100000000000001" customHeight="1">
      <c r="A1484" s="28"/>
      <c r="B1484" s="151"/>
      <c r="H1484" s="151"/>
    </row>
    <row r="1485" spans="1:8" ht="20.100000000000001" customHeight="1">
      <c r="A1485" s="282">
        <f>+A1471+1</f>
        <v>87</v>
      </c>
      <c r="B1485" s="1071" t="s">
        <v>3316</v>
      </c>
      <c r="C1485" s="1072"/>
      <c r="D1485" s="1072"/>
      <c r="E1485" s="1072"/>
      <c r="F1485" s="1072"/>
      <c r="G1485" s="1072"/>
      <c r="H1485" s="1072"/>
    </row>
    <row r="1486" spans="1:8" ht="16.5">
      <c r="A1486" s="688" t="s">
        <v>4396</v>
      </c>
      <c r="B1486" s="1158" t="s">
        <v>1087</v>
      </c>
      <c r="C1486" s="1158"/>
      <c r="D1486" s="1158"/>
      <c r="E1486" s="1158"/>
      <c r="F1486" s="1158"/>
      <c r="G1486" s="1158"/>
      <c r="H1486" s="1158"/>
    </row>
    <row r="1487" spans="1:8" ht="31.5">
      <c r="B1487" s="70" t="s">
        <v>3340</v>
      </c>
      <c r="C1487" s="70" t="s">
        <v>3341</v>
      </c>
      <c r="D1487" s="70" t="s">
        <v>3342</v>
      </c>
      <c r="E1487" s="70" t="s">
        <v>3343</v>
      </c>
      <c r="F1487" s="70" t="s">
        <v>3344</v>
      </c>
      <c r="G1487" s="70" t="s">
        <v>3345</v>
      </c>
      <c r="H1487" s="70" t="s">
        <v>1704</v>
      </c>
    </row>
    <row r="1488" spans="1:8" ht="16.5">
      <c r="B1488" s="1067" t="s">
        <v>1705</v>
      </c>
      <c r="C1488" s="60" t="s">
        <v>610</v>
      </c>
      <c r="D1488" s="43">
        <v>1.43</v>
      </c>
      <c r="E1488" s="60" t="s">
        <v>1707</v>
      </c>
      <c r="F1488" s="111">
        <f>'update Rate'!F5</f>
        <v>525</v>
      </c>
      <c r="G1488" s="111">
        <f>FLOOR(D1488*F1488,0.01)</f>
        <v>750.75</v>
      </c>
      <c r="H1488" s="112"/>
    </row>
    <row r="1489" spans="1:8" ht="20.25" customHeight="1">
      <c r="B1489" s="1070"/>
      <c r="C1489" s="58" t="s">
        <v>1647</v>
      </c>
      <c r="D1489" s="51">
        <v>0.14299999999999999</v>
      </c>
      <c r="E1489" s="58" t="s">
        <v>1707</v>
      </c>
      <c r="F1489" s="113">
        <f>'update Rate'!F4</f>
        <v>375</v>
      </c>
      <c r="G1489" s="65">
        <f>FLOOR(D1489*F1489,0.01)</f>
        <v>53.620000000000005</v>
      </c>
      <c r="H1489" s="125">
        <f>SUM(G1488+G1489)</f>
        <v>804.37</v>
      </c>
    </row>
    <row r="1490" spans="1:8" ht="17.25">
      <c r="B1490" s="1069" t="s">
        <v>2330</v>
      </c>
      <c r="C1490" s="55" t="s">
        <v>2178</v>
      </c>
      <c r="D1490" s="54">
        <v>0.27500000000000002</v>
      </c>
      <c r="E1490" s="55" t="s">
        <v>2530</v>
      </c>
      <c r="F1490" s="114">
        <f>awood</f>
        <v>120054</v>
      </c>
      <c r="G1490" s="113">
        <f>FLOOR(D1490*F1490,0.01)</f>
        <v>33014.85</v>
      </c>
      <c r="H1490" s="86"/>
    </row>
    <row r="1491" spans="1:8" ht="15.75">
      <c r="B1491" s="1070"/>
      <c r="C1491" s="58" t="s">
        <v>2272</v>
      </c>
      <c r="D1491" s="58" t="s">
        <v>89</v>
      </c>
      <c r="E1491" s="58" t="s">
        <v>3173</v>
      </c>
      <c r="F1491" s="65"/>
      <c r="G1491" s="65">
        <v>60</v>
      </c>
      <c r="H1491" s="127">
        <f>SUM(G1490:G1491)</f>
        <v>33074.85</v>
      </c>
    </row>
    <row r="1492" spans="1:8" ht="15.75">
      <c r="F1492" s="42" t="s">
        <v>1708</v>
      </c>
      <c r="G1492" s="42"/>
      <c r="H1492" s="65">
        <f>SUM(H1491,H1489)</f>
        <v>33879.22</v>
      </c>
    </row>
    <row r="1493" spans="1:8" ht="18" customHeight="1">
      <c r="B1493" s="1" t="s">
        <v>1710</v>
      </c>
      <c r="F1493" s="42" t="s">
        <v>1689</v>
      </c>
      <c r="G1493" s="42"/>
      <c r="H1493" s="103">
        <f>FLOOR(H1492*0.15,0.01)</f>
        <v>5081.88</v>
      </c>
    </row>
    <row r="1494" spans="1:8" ht="18" customHeight="1">
      <c r="A1494" s="28"/>
      <c r="B1494" s="147">
        <f>+H1494</f>
        <v>38961.1</v>
      </c>
      <c r="C1494" s="28" t="s">
        <v>3384</v>
      </c>
      <c r="D1494" s="103">
        <f>INT(B1494/B1495*100)/100</f>
        <v>3896.11</v>
      </c>
      <c r="E1494" s="1" t="s">
        <v>3385</v>
      </c>
      <c r="F1494" s="42" t="s">
        <v>1711</v>
      </c>
      <c r="G1494" s="42"/>
      <c r="H1494" s="103">
        <f>SUM(H1492:H1493)</f>
        <v>38961.1</v>
      </c>
    </row>
    <row r="1495" spans="1:8" ht="18" customHeight="1">
      <c r="A1495" s="33"/>
      <c r="B1495" s="149">
        <v>10</v>
      </c>
    </row>
    <row r="1496" spans="1:8" ht="17.25">
      <c r="B1496" s="236"/>
      <c r="F1496" s="42"/>
      <c r="G1496" s="42"/>
      <c r="H1496" s="19"/>
    </row>
    <row r="1497" spans="1:8">
      <c r="A1497" s="145">
        <f>+A1485+1</f>
        <v>88</v>
      </c>
    </row>
    <row r="1498" spans="1:8" ht="19.5">
      <c r="A1498" s="688" t="s">
        <v>3838</v>
      </c>
      <c r="B1498" s="1089" t="s">
        <v>4054</v>
      </c>
      <c r="C1498" s="1089"/>
      <c r="D1498" s="1089"/>
      <c r="E1498" s="1089"/>
      <c r="F1498" s="1089"/>
      <c r="G1498" s="1089"/>
      <c r="H1498" s="1089"/>
    </row>
    <row r="1499" spans="1:8">
      <c r="B1499" s="1092" t="s">
        <v>1594</v>
      </c>
      <c r="C1499" s="1092"/>
      <c r="D1499" s="1092"/>
      <c r="E1499" s="1092"/>
      <c r="F1499" s="1092"/>
      <c r="G1499" s="1092"/>
      <c r="H1499" s="1092"/>
    </row>
    <row r="1500" spans="1:8" ht="31.5">
      <c r="B1500" s="70" t="s">
        <v>3340</v>
      </c>
      <c r="C1500" s="70" t="s">
        <v>3341</v>
      </c>
      <c r="D1500" s="70" t="s">
        <v>3342</v>
      </c>
      <c r="E1500" s="70" t="s">
        <v>3343</v>
      </c>
      <c r="F1500" s="70" t="s">
        <v>3344</v>
      </c>
      <c r="G1500" s="70" t="s">
        <v>3345</v>
      </c>
      <c r="H1500" s="70" t="s">
        <v>1704</v>
      </c>
    </row>
    <row r="1501" spans="1:8" ht="17.25">
      <c r="B1501" s="703" t="s">
        <v>1705</v>
      </c>
      <c r="C1501" s="703" t="s">
        <v>2899</v>
      </c>
      <c r="D1501" s="43">
        <v>1.5</v>
      </c>
      <c r="E1501" s="57" t="s">
        <v>1707</v>
      </c>
      <c r="F1501" s="111">
        <f>mason</f>
        <v>525</v>
      </c>
      <c r="G1501" s="111">
        <f>FLOOR(D1501*F1501,0.01)</f>
        <v>787.5</v>
      </c>
      <c r="H1501" s="111"/>
    </row>
    <row r="1502" spans="1:8" ht="15" customHeight="1">
      <c r="B1502" s="64"/>
      <c r="C1502" s="55" t="s">
        <v>2176</v>
      </c>
      <c r="D1502" s="44">
        <v>1</v>
      </c>
      <c r="E1502" s="55" t="s">
        <v>1707</v>
      </c>
      <c r="F1502" s="65">
        <f>'update Rate'!F4</f>
        <v>375</v>
      </c>
      <c r="G1502" s="126">
        <f>FLOOR(D1502*F1502,0.01)</f>
        <v>375</v>
      </c>
      <c r="H1502" s="126">
        <f>SUM(G1501:G1502)</f>
        <v>1162.5</v>
      </c>
    </row>
    <row r="1503" spans="1:8" ht="15" customHeight="1">
      <c r="B1503" s="1107" t="s">
        <v>2330</v>
      </c>
      <c r="C1503" s="760" t="s">
        <v>3828</v>
      </c>
      <c r="D1503" s="43">
        <v>12</v>
      </c>
      <c r="E1503" s="57" t="s">
        <v>3170</v>
      </c>
      <c r="F1503" s="855">
        <f>'update Rate'!F330</f>
        <v>1076</v>
      </c>
      <c r="G1503" s="167">
        <f>FLOOR(D1503*F1503,0.01)</f>
        <v>12912</v>
      </c>
      <c r="H1503" s="214"/>
    </row>
    <row r="1504" spans="1:8" ht="14.25" customHeight="1">
      <c r="B1504" s="1159"/>
      <c r="C1504" s="62" t="s">
        <v>3826</v>
      </c>
      <c r="D1504" s="44">
        <v>14</v>
      </c>
      <c r="E1504" s="55" t="s">
        <v>1643</v>
      </c>
      <c r="F1504" s="584" t="s">
        <v>3959</v>
      </c>
      <c r="G1504" s="168">
        <v>70</v>
      </c>
      <c r="H1504" s="214"/>
    </row>
    <row r="1505" spans="1:8" ht="14.25" customHeight="1">
      <c r="B1505" s="1109"/>
      <c r="C1505" s="215" t="s">
        <v>3827</v>
      </c>
      <c r="D1505" s="45">
        <v>28</v>
      </c>
      <c r="E1505" s="58" t="s">
        <v>1643</v>
      </c>
      <c r="F1505" s="594">
        <f>pkila</f>
        <v>1.87</v>
      </c>
      <c r="G1505" s="170">
        <f>FLOOR(D1505*F1505,0.01)</f>
        <v>52.36</v>
      </c>
      <c r="H1505" s="65">
        <f>SUM(G1503:G1505)</f>
        <v>13034.36</v>
      </c>
    </row>
    <row r="1506" spans="1:8" ht="18" customHeight="1">
      <c r="F1506" s="42" t="s">
        <v>1708</v>
      </c>
      <c r="G1506" s="42"/>
      <c r="H1506" s="103">
        <f>SUM(H1502:H1505)</f>
        <v>14196.86</v>
      </c>
    </row>
    <row r="1507" spans="1:8" ht="18" customHeight="1">
      <c r="B1507" s="33" t="s">
        <v>1710</v>
      </c>
      <c r="F1507" s="42" t="s">
        <v>1689</v>
      </c>
      <c r="G1507" s="42"/>
      <c r="H1507" s="103">
        <f>FLOOR(H1506*0.15,0.01)</f>
        <v>2129.52</v>
      </c>
    </row>
    <row r="1508" spans="1:8" ht="18" customHeight="1">
      <c r="B1508" s="151">
        <f>+H1508</f>
        <v>16326.380000000001</v>
      </c>
      <c r="C1508" s="233" t="s">
        <v>3384</v>
      </c>
      <c r="D1508" s="103">
        <f>B1508/B1509</f>
        <v>1632.6380000000001</v>
      </c>
      <c r="E1508" s="1" t="s">
        <v>3385</v>
      </c>
      <c r="F1508" s="42" t="s">
        <v>1711</v>
      </c>
      <c r="G1508" s="42"/>
      <c r="H1508" s="103">
        <f>SUM(H1506:H1507)</f>
        <v>16326.380000000001</v>
      </c>
    </row>
    <row r="1509" spans="1:8" ht="17.25">
      <c r="B1509" s="235">
        <v>10</v>
      </c>
      <c r="F1509" s="42"/>
      <c r="G1509" s="42"/>
      <c r="H1509" s="19"/>
    </row>
    <row r="1510" spans="1:8" ht="17.25">
      <c r="B1510" s="236"/>
      <c r="F1510" s="42"/>
      <c r="G1510" s="42"/>
      <c r="H1510" s="19"/>
    </row>
    <row r="1511" spans="1:8">
      <c r="A1511" s="758"/>
      <c r="B1511" s="759"/>
      <c r="C1511" s="712"/>
      <c r="D1511" s="712"/>
      <c r="E1511" s="712"/>
      <c r="F1511" s="759"/>
      <c r="G1511" s="759"/>
      <c r="H1511" s="759"/>
    </row>
    <row r="1512" spans="1:8" ht="32.25" customHeight="1">
      <c r="A1512" s="282">
        <f>A1497+1</f>
        <v>89</v>
      </c>
      <c r="B1512" s="1089" t="s">
        <v>657</v>
      </c>
      <c r="C1512" s="1089"/>
      <c r="D1512" s="1089"/>
      <c r="E1512" s="1089"/>
      <c r="F1512" s="1089"/>
      <c r="G1512" s="1089"/>
      <c r="H1512" s="1089"/>
    </row>
    <row r="1513" spans="1:8" ht="14.25" customHeight="1">
      <c r="A1513" s="688" t="s">
        <v>4397</v>
      </c>
      <c r="B1513" s="1074" t="s">
        <v>2529</v>
      </c>
      <c r="C1513" s="1092"/>
      <c r="D1513" s="1092"/>
      <c r="E1513" s="1092"/>
      <c r="F1513" s="1092"/>
      <c r="G1513" s="1092"/>
      <c r="H1513" s="1092"/>
    </row>
    <row r="1514" spans="1:8" ht="31.5">
      <c r="B1514" s="70" t="s">
        <v>3340</v>
      </c>
      <c r="C1514" s="70" t="s">
        <v>3341</v>
      </c>
      <c r="D1514" s="70" t="s">
        <v>3342</v>
      </c>
      <c r="E1514" s="70" t="s">
        <v>3343</v>
      </c>
      <c r="F1514" s="70" t="s">
        <v>3344</v>
      </c>
      <c r="G1514" s="70" t="s">
        <v>3345</v>
      </c>
      <c r="H1514" s="70" t="s">
        <v>1704</v>
      </c>
    </row>
    <row r="1515" spans="1:8" ht="15" customHeight="1">
      <c r="B1515" s="1067" t="s">
        <v>1705</v>
      </c>
      <c r="C1515" s="60" t="s">
        <v>610</v>
      </c>
      <c r="D1515" s="43">
        <v>34</v>
      </c>
      <c r="E1515" s="57" t="s">
        <v>1707</v>
      </c>
      <c r="F1515" s="111">
        <f>'update Rate'!F5</f>
        <v>525</v>
      </c>
      <c r="G1515" s="111">
        <f>FLOOR(D1515*F1515,0.01)</f>
        <v>17850</v>
      </c>
      <c r="H1515" s="112"/>
    </row>
    <row r="1516" spans="1:8" ht="15" customHeight="1">
      <c r="B1516" s="1070"/>
      <c r="C1516" s="58" t="s">
        <v>1647</v>
      </c>
      <c r="D1516" s="45">
        <v>3.4</v>
      </c>
      <c r="E1516" s="58" t="s">
        <v>1707</v>
      </c>
      <c r="F1516" s="113">
        <f>'update Rate'!F4</f>
        <v>375</v>
      </c>
      <c r="G1516" s="65">
        <f>FLOOR(D1516*F1516,0.01)</f>
        <v>1275</v>
      </c>
      <c r="H1516" s="125">
        <f>SUM(G1515+G1516)</f>
        <v>19125</v>
      </c>
    </row>
    <row r="1517" spans="1:8" ht="15" customHeight="1">
      <c r="B1517" s="1069" t="s">
        <v>2330</v>
      </c>
      <c r="C1517" s="57" t="s">
        <v>2178</v>
      </c>
      <c r="D1517" s="43">
        <v>1.1000000000000001</v>
      </c>
      <c r="E1517" s="57" t="s">
        <v>2530</v>
      </c>
      <c r="F1517" s="114">
        <f>awood</f>
        <v>120054</v>
      </c>
      <c r="G1517" s="113">
        <f>FLOOR(D1517*F1517,0.01)</f>
        <v>132059.4</v>
      </c>
      <c r="H1517" s="86"/>
    </row>
    <row r="1518" spans="1:8" ht="15" customHeight="1">
      <c r="B1518" s="1094"/>
      <c r="C1518" s="55" t="s">
        <v>3288</v>
      </c>
      <c r="D1518" s="44">
        <v>92</v>
      </c>
      <c r="E1518" s="55" t="s">
        <v>803</v>
      </c>
      <c r="F1518" s="113">
        <f>holpass</f>
        <v>15.71</v>
      </c>
      <c r="G1518" s="113">
        <f>FLOOR(D1518*F1518,0.01)</f>
        <v>1445.32</v>
      </c>
      <c r="H1518" s="125"/>
    </row>
    <row r="1519" spans="1:8" ht="15" customHeight="1">
      <c r="B1519" s="1073"/>
      <c r="C1519" s="58" t="s">
        <v>2179</v>
      </c>
      <c r="D1519" s="45">
        <v>184</v>
      </c>
      <c r="E1519" s="58" t="s">
        <v>803</v>
      </c>
      <c r="F1519" s="126">
        <f>'update Rate'!F59</f>
        <v>1.87</v>
      </c>
      <c r="G1519" s="65">
        <f>FLOOR(D1519*F1519,0.01)</f>
        <v>344.08</v>
      </c>
      <c r="H1519" s="127">
        <f>SUM(G1517:G1519)</f>
        <v>133848.79999999999</v>
      </c>
    </row>
    <row r="1520" spans="1:8" ht="15" customHeight="1">
      <c r="D1520" s="91"/>
      <c r="F1520" s="42" t="s">
        <v>1708</v>
      </c>
      <c r="G1520" s="42"/>
      <c r="H1520" s="65">
        <f>SUM(H1516:H1519)</f>
        <v>152973.79999999999</v>
      </c>
    </row>
    <row r="1521" spans="1:8" ht="15" customHeight="1">
      <c r="B1521" s="1" t="s">
        <v>3658</v>
      </c>
      <c r="F1521" s="42" t="s">
        <v>1689</v>
      </c>
      <c r="G1521" s="42"/>
      <c r="H1521" s="103">
        <f>FLOOR(H1520*0.15,0.01)</f>
        <v>22946.07</v>
      </c>
    </row>
    <row r="1522" spans="1:8" ht="15" customHeight="1">
      <c r="A1522" s="28" t="s">
        <v>3384</v>
      </c>
      <c r="B1522" s="103">
        <f>+H1522</f>
        <v>175919.87</v>
      </c>
      <c r="F1522" s="42" t="s">
        <v>1711</v>
      </c>
      <c r="G1522" s="42"/>
      <c r="H1522" s="103">
        <f>SUM(H1520:H1521)</f>
        <v>175919.87</v>
      </c>
    </row>
    <row r="1523" spans="1:8" ht="15.75" customHeight="1">
      <c r="A1523" s="28"/>
      <c r="B1523" s="151"/>
      <c r="F1523" s="42"/>
      <c r="G1523" s="42"/>
      <c r="H1523" s="151"/>
    </row>
    <row r="1524" spans="1:8" ht="15.75" customHeight="1">
      <c r="A1524" s="28"/>
      <c r="B1524" s="151"/>
      <c r="F1524" s="42"/>
      <c r="G1524" s="42"/>
      <c r="H1524" s="151"/>
    </row>
    <row r="1525" spans="1:8" ht="15.75" customHeight="1">
      <c r="A1525" s="28"/>
      <c r="B1525" s="151"/>
      <c r="F1525" s="42"/>
      <c r="G1525" s="42"/>
      <c r="H1525" s="151"/>
    </row>
    <row r="1526" spans="1:8" ht="15.75" customHeight="1">
      <c r="B1526" s="1089" t="s">
        <v>1597</v>
      </c>
      <c r="C1526" s="1089"/>
      <c r="D1526" s="1089"/>
      <c r="E1526" s="1089"/>
      <c r="F1526" s="1089"/>
      <c r="G1526" s="1089"/>
      <c r="H1526" s="1089"/>
    </row>
    <row r="1527" spans="1:8" ht="15.75" customHeight="1">
      <c r="A1527" s="282">
        <f>+A1512+1</f>
        <v>90</v>
      </c>
      <c r="B1527" s="1071" t="s">
        <v>1598</v>
      </c>
      <c r="C1527" s="1072"/>
      <c r="D1527" s="1072"/>
      <c r="E1527" s="1072"/>
      <c r="F1527" s="1072"/>
      <c r="G1527" s="1072"/>
      <c r="H1527" s="1072"/>
    </row>
    <row r="1528" spans="1:8" ht="14.25" customHeight="1">
      <c r="A1528" s="688" t="s">
        <v>4398</v>
      </c>
      <c r="B1528" s="1100" t="s">
        <v>2347</v>
      </c>
      <c r="C1528" s="1083"/>
      <c r="D1528" s="1083"/>
      <c r="E1528" s="1083"/>
      <c r="F1528" s="1083"/>
      <c r="G1528" s="1083"/>
      <c r="H1528" s="1083"/>
    </row>
    <row r="1529" spans="1:8" ht="31.5">
      <c r="B1529" s="70" t="s">
        <v>3340</v>
      </c>
      <c r="C1529" s="70" t="s">
        <v>3341</v>
      </c>
      <c r="D1529" s="70" t="s">
        <v>3342</v>
      </c>
      <c r="E1529" s="70" t="s">
        <v>3343</v>
      </c>
      <c r="F1529" s="70" t="s">
        <v>3344</v>
      </c>
      <c r="G1529" s="70" t="s">
        <v>3345</v>
      </c>
      <c r="H1529" s="70" t="s">
        <v>1704</v>
      </c>
    </row>
    <row r="1530" spans="1:8" ht="17.25">
      <c r="B1530" s="1067" t="s">
        <v>1705</v>
      </c>
      <c r="C1530" s="60" t="s">
        <v>610</v>
      </c>
      <c r="D1530" s="43">
        <v>10</v>
      </c>
      <c r="E1530" s="57" t="s">
        <v>1707</v>
      </c>
      <c r="F1530" s="111">
        <f>'update Rate'!F5</f>
        <v>525</v>
      </c>
      <c r="G1530" s="111">
        <f t="shared" ref="G1530:G1536" si="46">FLOOR(D1530*F1530,0.01)</f>
        <v>5250</v>
      </c>
      <c r="H1530" s="112"/>
    </row>
    <row r="1531" spans="1:8" ht="17.25">
      <c r="B1531" s="1070"/>
      <c r="C1531" s="58" t="s">
        <v>1647</v>
      </c>
      <c r="D1531" s="45">
        <v>1</v>
      </c>
      <c r="E1531" s="58" t="s">
        <v>1707</v>
      </c>
      <c r="F1531" s="113">
        <f>'update Rate'!F4</f>
        <v>375</v>
      </c>
      <c r="G1531" s="65">
        <f t="shared" si="46"/>
        <v>375</v>
      </c>
      <c r="H1531" s="125">
        <f>SUM(G1530+G1531)</f>
        <v>5625</v>
      </c>
    </row>
    <row r="1532" spans="1:8" ht="17.25">
      <c r="B1532" s="1069" t="s">
        <v>2330</v>
      </c>
      <c r="C1532" s="57" t="s">
        <v>2178</v>
      </c>
      <c r="D1532" s="48">
        <v>8.4000000000000005E-2</v>
      </c>
      <c r="E1532" s="57" t="s">
        <v>2530</v>
      </c>
      <c r="F1532" s="114">
        <f>awood</f>
        <v>120054</v>
      </c>
      <c r="G1532" s="113">
        <f t="shared" si="46"/>
        <v>10084.530000000001</v>
      </c>
      <c r="H1532" s="86"/>
    </row>
    <row r="1533" spans="1:8" ht="17.25">
      <c r="B1533" s="1094"/>
      <c r="C1533" s="55" t="s">
        <v>2348</v>
      </c>
      <c r="D1533" s="44">
        <v>6</v>
      </c>
      <c r="E1533" s="55" t="s">
        <v>803</v>
      </c>
      <c r="F1533" s="113">
        <f>Kabja100</f>
        <v>26</v>
      </c>
      <c r="G1533" s="113">
        <f t="shared" si="46"/>
        <v>156</v>
      </c>
      <c r="H1533" s="88"/>
    </row>
    <row r="1534" spans="1:8" ht="17.25">
      <c r="B1534" s="1094"/>
      <c r="C1534" s="55" t="s">
        <v>2157</v>
      </c>
      <c r="D1534" s="44">
        <v>1</v>
      </c>
      <c r="E1534" s="55" t="s">
        <v>803</v>
      </c>
      <c r="F1534" s="113">
        <f>cheskini150</f>
        <v>59</v>
      </c>
      <c r="G1534" s="113">
        <f t="shared" si="46"/>
        <v>59</v>
      </c>
      <c r="H1534" s="88"/>
    </row>
    <row r="1535" spans="1:8" ht="17.25">
      <c r="B1535" s="1094"/>
      <c r="C1535" s="55" t="s">
        <v>2158</v>
      </c>
      <c r="D1535" s="44">
        <v>1</v>
      </c>
      <c r="E1535" s="55" t="s">
        <v>803</v>
      </c>
      <c r="F1535" s="113">
        <f>cheskini300</f>
        <v>94</v>
      </c>
      <c r="G1535" s="113">
        <f t="shared" si="46"/>
        <v>94</v>
      </c>
      <c r="H1535" s="88"/>
    </row>
    <row r="1536" spans="1:8" ht="17.25">
      <c r="B1536" s="1094"/>
      <c r="C1536" s="12" t="s">
        <v>3307</v>
      </c>
      <c r="D1536" s="44">
        <v>1</v>
      </c>
      <c r="E1536" s="55" t="s">
        <v>803</v>
      </c>
      <c r="F1536" s="113">
        <f>lucking300</f>
        <v>1298</v>
      </c>
      <c r="G1536" s="113">
        <f t="shared" si="46"/>
        <v>1298</v>
      </c>
      <c r="H1536" s="88"/>
    </row>
    <row r="1537" spans="1:8" ht="17.25">
      <c r="B1537" s="1094"/>
      <c r="C1537" s="56" t="s">
        <v>3381</v>
      </c>
      <c r="D1537" s="44"/>
      <c r="E1537" s="55"/>
      <c r="F1537" s="113"/>
      <c r="G1537" s="44"/>
      <c r="H1537" s="88"/>
    </row>
    <row r="1538" spans="1:8" ht="20.100000000000001" customHeight="1">
      <c r="B1538" s="1094"/>
      <c r="C1538" s="55" t="s">
        <v>1110</v>
      </c>
      <c r="D1538" s="44">
        <v>2</v>
      </c>
      <c r="E1538" s="55" t="s">
        <v>803</v>
      </c>
      <c r="F1538" s="113">
        <f>shandle</f>
        <v>24</v>
      </c>
      <c r="G1538" s="113">
        <f>FLOOR(D1538*F1538,0.01)</f>
        <v>48</v>
      </c>
      <c r="H1538" s="88"/>
    </row>
    <row r="1539" spans="1:8" ht="20.100000000000001" customHeight="1">
      <c r="B1539" s="1073"/>
      <c r="C1539" s="58" t="s">
        <v>2179</v>
      </c>
      <c r="D1539" s="59" t="s">
        <v>89</v>
      </c>
      <c r="E1539" s="58" t="s">
        <v>3173</v>
      </c>
      <c r="F1539" s="65"/>
      <c r="G1539" s="65">
        <v>45</v>
      </c>
      <c r="H1539" s="127">
        <f>SUM(G1532:G1539)</f>
        <v>11784.53</v>
      </c>
    </row>
    <row r="1540" spans="1:8" ht="20.100000000000001" customHeight="1">
      <c r="F1540" s="42" t="s">
        <v>1708</v>
      </c>
      <c r="G1540" s="42"/>
      <c r="H1540" s="65">
        <f>SUM(H1531:H1539)</f>
        <v>17409.53</v>
      </c>
    </row>
    <row r="1541" spans="1:8" ht="20.100000000000001" customHeight="1">
      <c r="B1541" s="3" t="s">
        <v>1710</v>
      </c>
      <c r="F1541" s="42" t="s">
        <v>1689</v>
      </c>
      <c r="G1541" s="42"/>
      <c r="H1541" s="103">
        <f>FLOOR(H1540*0.15,0.01)</f>
        <v>2611.42</v>
      </c>
    </row>
    <row r="1542" spans="1:8" ht="20.100000000000001" customHeight="1">
      <c r="A1542"/>
      <c r="B1542" s="147">
        <f>+H1542</f>
        <v>20020.949999999997</v>
      </c>
      <c r="C1542" s="28" t="s">
        <v>3384</v>
      </c>
      <c r="D1542" s="103">
        <f>INT(B1542/B1543*100)/100</f>
        <v>9470.64</v>
      </c>
      <c r="E1542" s="1" t="s">
        <v>3385</v>
      </c>
      <c r="F1542" s="42" t="s">
        <v>1711</v>
      </c>
      <c r="G1542" s="42"/>
      <c r="H1542" s="103">
        <f>SUM(H1540:H1541)</f>
        <v>20020.949999999997</v>
      </c>
    </row>
    <row r="1543" spans="1:8" ht="20.100000000000001" customHeight="1">
      <c r="B1543" s="149">
        <v>2.1139999999999999</v>
      </c>
    </row>
    <row r="1544" spans="1:8" ht="19.5">
      <c r="A1544" s="282">
        <f>A1527+1</f>
        <v>91</v>
      </c>
      <c r="B1544" s="1076" t="s">
        <v>1599</v>
      </c>
      <c r="C1544" s="1089"/>
      <c r="D1544" s="1089"/>
      <c r="E1544" s="1089"/>
      <c r="F1544" s="1089"/>
      <c r="G1544" s="1089"/>
      <c r="H1544" s="1089"/>
    </row>
    <row r="1545" spans="1:8" ht="19.5">
      <c r="A1545" s="688" t="s">
        <v>4399</v>
      </c>
      <c r="B1545" s="1076" t="s">
        <v>1140</v>
      </c>
      <c r="C1545" s="1089"/>
      <c r="D1545" s="1089"/>
      <c r="E1545" s="1089"/>
      <c r="F1545" s="1089"/>
      <c r="G1545" s="1089"/>
      <c r="H1545" s="1089"/>
    </row>
    <row r="1546" spans="1:8">
      <c r="B1546" s="1083" t="s">
        <v>1460</v>
      </c>
      <c r="C1546" s="1083"/>
      <c r="D1546" s="1083"/>
      <c r="E1546" s="1083"/>
      <c r="F1546" s="1083"/>
      <c r="G1546" s="1083"/>
      <c r="H1546" s="1083"/>
    </row>
    <row r="1547" spans="1:8" ht="31.5">
      <c r="B1547" s="70" t="s">
        <v>3340</v>
      </c>
      <c r="C1547" s="70" t="s">
        <v>3341</v>
      </c>
      <c r="D1547" s="70" t="s">
        <v>3342</v>
      </c>
      <c r="E1547" s="70" t="s">
        <v>3343</v>
      </c>
      <c r="F1547" s="70" t="s">
        <v>3344</v>
      </c>
      <c r="G1547" s="70" t="s">
        <v>3345</v>
      </c>
      <c r="H1547" s="70" t="s">
        <v>1704</v>
      </c>
    </row>
    <row r="1548" spans="1:8" ht="17.25">
      <c r="B1548" s="1067" t="s">
        <v>1705</v>
      </c>
      <c r="C1548" s="60" t="s">
        <v>610</v>
      </c>
      <c r="D1548" s="50">
        <v>9</v>
      </c>
      <c r="E1548" s="57" t="s">
        <v>1707</v>
      </c>
      <c r="F1548" s="111">
        <f>'update Rate'!F5</f>
        <v>525</v>
      </c>
      <c r="G1548" s="111">
        <f t="shared" ref="G1548:G1554" si="47">FLOOR(D1548*F1548,0.01)</f>
        <v>4725</v>
      </c>
      <c r="H1548" s="112"/>
    </row>
    <row r="1549" spans="1:8" ht="17.25">
      <c r="B1549" s="1070"/>
      <c r="C1549" s="58" t="s">
        <v>1647</v>
      </c>
      <c r="D1549" s="45">
        <v>0.9</v>
      </c>
      <c r="E1549" s="58" t="s">
        <v>1707</v>
      </c>
      <c r="F1549" s="113">
        <f>'update Rate'!F4</f>
        <v>375</v>
      </c>
      <c r="G1549" s="65">
        <f t="shared" si="47"/>
        <v>337.5</v>
      </c>
      <c r="H1549" s="125">
        <f>SUM(G1548+G1549)</f>
        <v>5062.5</v>
      </c>
    </row>
    <row r="1550" spans="1:8" ht="17.25">
      <c r="B1550" s="1069" t="s">
        <v>2330</v>
      </c>
      <c r="C1550" s="57" t="s">
        <v>1844</v>
      </c>
      <c r="D1550" s="48">
        <v>4.9000000000000002E-2</v>
      </c>
      <c r="E1550" s="57" t="s">
        <v>2530</v>
      </c>
      <c r="F1550" s="114">
        <f>'update Rate'!$F$52</f>
        <v>120054</v>
      </c>
      <c r="G1550" s="113">
        <f t="shared" si="47"/>
        <v>5882.64</v>
      </c>
      <c r="H1550" s="86"/>
    </row>
    <row r="1551" spans="1:8" ht="17.25">
      <c r="B1551" s="1094"/>
      <c r="C1551" s="55" t="s">
        <v>1141</v>
      </c>
      <c r="D1551" s="54">
        <v>1.085</v>
      </c>
      <c r="E1551" s="55" t="s">
        <v>3170</v>
      </c>
      <c r="F1551" s="113">
        <f>glass4</f>
        <v>516.48</v>
      </c>
      <c r="G1551" s="113">
        <f t="shared" si="47"/>
        <v>560.38</v>
      </c>
      <c r="H1551" s="88"/>
    </row>
    <row r="1552" spans="1:8" ht="17.25">
      <c r="B1552" s="1094"/>
      <c r="C1552" s="55" t="s">
        <v>1845</v>
      </c>
      <c r="D1552" s="44">
        <v>8</v>
      </c>
      <c r="E1552" s="55" t="s">
        <v>803</v>
      </c>
      <c r="F1552" s="113">
        <f>kabja75</f>
        <v>14</v>
      </c>
      <c r="G1552" s="113">
        <f t="shared" si="47"/>
        <v>112</v>
      </c>
      <c r="H1552" s="88"/>
    </row>
    <row r="1553" spans="1:8" ht="20.100000000000001" customHeight="1">
      <c r="B1553" s="1094"/>
      <c r="C1553" s="55" t="s">
        <v>1846</v>
      </c>
      <c r="D1553" s="44">
        <v>4</v>
      </c>
      <c r="E1553" s="55" t="s">
        <v>803</v>
      </c>
      <c r="F1553" s="113">
        <f>cheskini100</f>
        <v>35</v>
      </c>
      <c r="G1553" s="113">
        <f t="shared" si="47"/>
        <v>140</v>
      </c>
      <c r="H1553" s="88"/>
    </row>
    <row r="1554" spans="1:8" ht="20.100000000000001" customHeight="1">
      <c r="B1554" s="1094"/>
      <c r="C1554" s="55" t="s">
        <v>2159</v>
      </c>
      <c r="D1554" s="44">
        <v>2</v>
      </c>
      <c r="E1554" s="55" t="s">
        <v>803</v>
      </c>
      <c r="F1554" s="113">
        <f>shandle</f>
        <v>24</v>
      </c>
      <c r="G1554" s="113">
        <f t="shared" si="47"/>
        <v>48</v>
      </c>
      <c r="H1554" s="88"/>
    </row>
    <row r="1555" spans="1:8" ht="20.100000000000001" customHeight="1">
      <c r="B1555" s="1073"/>
      <c r="C1555" s="58" t="s">
        <v>2179</v>
      </c>
      <c r="D1555" s="61" t="s">
        <v>89</v>
      </c>
      <c r="E1555" s="58" t="s">
        <v>3173</v>
      </c>
      <c r="F1555" s="65"/>
      <c r="G1555" s="65">
        <v>35</v>
      </c>
      <c r="H1555" s="127">
        <f>SUM(G1550:G1555)</f>
        <v>6778.02</v>
      </c>
    </row>
    <row r="1556" spans="1:8" ht="20.100000000000001" customHeight="1">
      <c r="F1556" s="42" t="s">
        <v>1708</v>
      </c>
      <c r="G1556" s="42"/>
      <c r="H1556" s="65">
        <f>SUM(H1549:H1555)</f>
        <v>11840.52</v>
      </c>
    </row>
    <row r="1557" spans="1:8" ht="20.100000000000001" customHeight="1">
      <c r="B1557" s="3" t="s">
        <v>1710</v>
      </c>
      <c r="F1557" s="42" t="s">
        <v>1689</v>
      </c>
      <c r="G1557" s="42"/>
      <c r="H1557" s="103">
        <f>FLOOR(H1556*0.15,0.01)</f>
        <v>1776.07</v>
      </c>
    </row>
    <row r="1558" spans="1:8" ht="20.100000000000001" customHeight="1">
      <c r="A1558"/>
      <c r="B1558" s="147">
        <f>+H1558</f>
        <v>13616.59</v>
      </c>
      <c r="C1558" s="28" t="s">
        <v>3384</v>
      </c>
      <c r="D1558" s="103">
        <f>INT(B1558/B1559*100)/100</f>
        <v>6106.09</v>
      </c>
      <c r="E1558" s="1" t="s">
        <v>3385</v>
      </c>
      <c r="F1558" s="42" t="s">
        <v>1711</v>
      </c>
      <c r="G1558" s="42"/>
      <c r="H1558" s="103">
        <f>SUM(H1556:H1557)</f>
        <v>13616.59</v>
      </c>
    </row>
    <row r="1559" spans="1:8" ht="20.100000000000001" customHeight="1">
      <c r="B1559" s="149">
        <v>2.23</v>
      </c>
      <c r="H1559" s="19"/>
    </row>
    <row r="1560" spans="1:8" ht="20.100000000000001" customHeight="1">
      <c r="A1560" s="159" t="s">
        <v>3829</v>
      </c>
      <c r="B1560" s="149"/>
      <c r="H1560" s="19"/>
    </row>
    <row r="1561" spans="1:8" ht="20.100000000000001" customHeight="1">
      <c r="A1561" s="159"/>
      <c r="B1561" s="149"/>
      <c r="H1561" s="19"/>
    </row>
    <row r="1562" spans="1:8" ht="20.100000000000001" customHeight="1">
      <c r="A1562" s="159"/>
      <c r="B1562" s="149"/>
      <c r="H1562" s="19"/>
    </row>
    <row r="1563" spans="1:8" ht="20.100000000000001" customHeight="1">
      <c r="A1563" s="159"/>
      <c r="B1563" s="149"/>
      <c r="H1563" s="19"/>
    </row>
    <row r="1564" spans="1:8" ht="20.100000000000001" customHeight="1">
      <c r="A1564" s="159"/>
      <c r="B1564" s="149"/>
      <c r="H1564" s="19"/>
    </row>
    <row r="1565" spans="1:8" ht="20.100000000000001" customHeight="1">
      <c r="A1565" s="159"/>
      <c r="B1565" s="149"/>
      <c r="H1565" s="19"/>
    </row>
    <row r="1566" spans="1:8" ht="20.100000000000001" customHeight="1">
      <c r="A1566" s="159"/>
      <c r="B1566" s="149"/>
      <c r="H1566" s="19"/>
    </row>
    <row r="1567" spans="1:8" ht="20.100000000000001" customHeight="1">
      <c r="B1567" s="149"/>
      <c r="H1567" s="19"/>
    </row>
    <row r="1568" spans="1:8" ht="18.75" customHeight="1">
      <c r="A1568" s="282">
        <f>+A1544+1</f>
        <v>92</v>
      </c>
      <c r="B1568" s="1089" t="s">
        <v>1843</v>
      </c>
      <c r="C1568" s="1089"/>
      <c r="D1568" s="1089"/>
      <c r="E1568" s="1089"/>
      <c r="F1568" s="1089"/>
      <c r="G1568" s="1089"/>
      <c r="H1568" s="1089"/>
    </row>
    <row r="1569" spans="1:8" ht="19.5">
      <c r="A1569" s="688" t="s">
        <v>4399</v>
      </c>
      <c r="B1569" s="1076" t="s">
        <v>3386</v>
      </c>
      <c r="C1569" s="1089"/>
      <c r="D1569" s="1089"/>
      <c r="E1569" s="1089"/>
      <c r="F1569" s="1089"/>
      <c r="G1569" s="1089"/>
      <c r="H1569" s="1089"/>
    </row>
    <row r="1570" spans="1:8" ht="20.100000000000001" customHeight="1">
      <c r="B1570" s="1083" t="s">
        <v>1460</v>
      </c>
      <c r="C1570" s="1083"/>
      <c r="D1570" s="1083"/>
      <c r="E1570" s="1083"/>
      <c r="F1570" s="1083"/>
      <c r="G1570" s="1083"/>
      <c r="H1570" s="1083"/>
    </row>
    <row r="1571" spans="1:8" ht="31.5">
      <c r="B1571" s="70" t="s">
        <v>3340</v>
      </c>
      <c r="C1571" s="70" t="s">
        <v>3341</v>
      </c>
      <c r="D1571" s="70" t="s">
        <v>3342</v>
      </c>
      <c r="E1571" s="70" t="s">
        <v>3343</v>
      </c>
      <c r="F1571" s="70" t="s">
        <v>3344</v>
      </c>
      <c r="G1571" s="70" t="s">
        <v>3345</v>
      </c>
      <c r="H1571" s="70" t="s">
        <v>1704</v>
      </c>
    </row>
    <row r="1572" spans="1:8" ht="17.25">
      <c r="B1572" s="1067" t="s">
        <v>1705</v>
      </c>
      <c r="C1572" s="60" t="s">
        <v>610</v>
      </c>
      <c r="D1572" s="43">
        <v>9</v>
      </c>
      <c r="E1572" s="57" t="s">
        <v>1707</v>
      </c>
      <c r="F1572" s="111">
        <f>'update Rate'!F5</f>
        <v>525</v>
      </c>
      <c r="G1572" s="111">
        <f t="shared" ref="G1572:G1578" si="48">FLOOR(D1572*F1572,0.01)</f>
        <v>4725</v>
      </c>
      <c r="H1572" s="112"/>
    </row>
    <row r="1573" spans="1:8" ht="17.25">
      <c r="B1573" s="1070"/>
      <c r="C1573" s="58" t="s">
        <v>1647</v>
      </c>
      <c r="D1573" s="45">
        <v>0.9</v>
      </c>
      <c r="E1573" s="58" t="s">
        <v>1707</v>
      </c>
      <c r="F1573" s="113">
        <f>'update Rate'!F4</f>
        <v>375</v>
      </c>
      <c r="G1573" s="65">
        <f t="shared" si="48"/>
        <v>337.5</v>
      </c>
      <c r="H1573" s="125">
        <f>SUM(G1572+G1573)</f>
        <v>5062.5</v>
      </c>
    </row>
    <row r="1574" spans="1:8" ht="17.25">
      <c r="B1574" s="1069" t="s">
        <v>2330</v>
      </c>
      <c r="C1574" s="57" t="s">
        <v>1844</v>
      </c>
      <c r="D1574" s="48">
        <v>4.9000000000000002E-2</v>
      </c>
      <c r="E1574" s="57" t="s">
        <v>2530</v>
      </c>
      <c r="F1574" s="114">
        <f>'update Rate'!$F$52</f>
        <v>120054</v>
      </c>
      <c r="G1574" s="113">
        <f t="shared" si="48"/>
        <v>5882.64</v>
      </c>
      <c r="H1574" s="86"/>
    </row>
    <row r="1575" spans="1:8" ht="17.25">
      <c r="B1575" s="1094"/>
      <c r="C1575" s="55" t="s">
        <v>3289</v>
      </c>
      <c r="D1575" s="54">
        <v>1.085</v>
      </c>
      <c r="E1575" s="55" t="s">
        <v>3170</v>
      </c>
      <c r="F1575" s="113">
        <f>'update Rate'!$F$86</f>
        <v>699.4</v>
      </c>
      <c r="G1575" s="113">
        <f t="shared" si="48"/>
        <v>758.84</v>
      </c>
      <c r="H1575" s="88"/>
    </row>
    <row r="1576" spans="1:8" ht="17.25">
      <c r="B1576" s="1094"/>
      <c r="C1576" s="55" t="s">
        <v>1845</v>
      </c>
      <c r="D1576" s="44">
        <v>8</v>
      </c>
      <c r="E1576" s="55" t="s">
        <v>803</v>
      </c>
      <c r="F1576" s="113">
        <f>kabja75</f>
        <v>14</v>
      </c>
      <c r="G1576" s="113">
        <f t="shared" si="48"/>
        <v>112</v>
      </c>
      <c r="H1576" s="88"/>
    </row>
    <row r="1577" spans="1:8" ht="17.25">
      <c r="B1577" s="1094"/>
      <c r="C1577" s="55" t="s">
        <v>1846</v>
      </c>
      <c r="D1577" s="44">
        <v>4</v>
      </c>
      <c r="E1577" s="55" t="s">
        <v>803</v>
      </c>
      <c r="F1577" s="113">
        <f>cheskini100</f>
        <v>35</v>
      </c>
      <c r="G1577" s="113">
        <f t="shared" si="48"/>
        <v>140</v>
      </c>
      <c r="H1577" s="88"/>
    </row>
    <row r="1578" spans="1:8" ht="20.100000000000001" customHeight="1">
      <c r="B1578" s="1094"/>
      <c r="C1578" s="55" t="s">
        <v>3382</v>
      </c>
      <c r="D1578" s="44">
        <v>2</v>
      </c>
      <c r="E1578" s="55" t="s">
        <v>803</v>
      </c>
      <c r="F1578" s="113">
        <f>shandle</f>
        <v>24</v>
      </c>
      <c r="G1578" s="113">
        <f t="shared" si="48"/>
        <v>48</v>
      </c>
      <c r="H1578" s="88"/>
    </row>
    <row r="1579" spans="1:8" ht="20.100000000000001" customHeight="1">
      <c r="B1579" s="1073"/>
      <c r="C1579" s="58" t="s">
        <v>2179</v>
      </c>
      <c r="D1579" s="61" t="s">
        <v>89</v>
      </c>
      <c r="E1579" s="58" t="s">
        <v>3173</v>
      </c>
      <c r="F1579" s="65"/>
      <c r="G1579" s="65">
        <v>35</v>
      </c>
      <c r="H1579" s="127">
        <f>SUM(G1574:G1579)</f>
        <v>6976.4800000000005</v>
      </c>
    </row>
    <row r="1580" spans="1:8" ht="15.75">
      <c r="F1580" s="42" t="s">
        <v>1708</v>
      </c>
      <c r="G1580" s="42"/>
      <c r="H1580" s="65">
        <f>SUM(H1579,H1573)</f>
        <v>12038.98</v>
      </c>
    </row>
    <row r="1581" spans="1:8" ht="15.75">
      <c r="B1581" s="3" t="s">
        <v>1710</v>
      </c>
      <c r="F1581" s="42" t="s">
        <v>1689</v>
      </c>
      <c r="G1581" s="42"/>
      <c r="H1581" s="103">
        <f>FLOOR(H1580*0.15,0.01)</f>
        <v>1805.8400000000001</v>
      </c>
    </row>
    <row r="1582" spans="1:8" ht="15.75">
      <c r="A1582"/>
      <c r="B1582" s="147">
        <f>+H1582</f>
        <v>13844.82</v>
      </c>
      <c r="C1582" s="28" t="s">
        <v>3384</v>
      </c>
      <c r="D1582" s="103">
        <f>INT(B1582/B1583*100)/100</f>
        <v>6208.43</v>
      </c>
      <c r="E1582" s="1" t="s">
        <v>3385</v>
      </c>
      <c r="F1582" s="42" t="s">
        <v>1711</v>
      </c>
      <c r="G1582" s="42"/>
      <c r="H1582" s="103">
        <f>SUM(H1580:H1581)</f>
        <v>13844.82</v>
      </c>
    </row>
    <row r="1583" spans="1:8" ht="20.100000000000001" customHeight="1">
      <c r="A1583" s="28"/>
      <c r="B1583" s="149">
        <v>2.23</v>
      </c>
      <c r="H1583" s="19"/>
    </row>
    <row r="1584" spans="1:8" ht="8.25" customHeight="1">
      <c r="A1584" s="28"/>
      <c r="B1584" s="149"/>
      <c r="H1584" s="19"/>
    </row>
    <row r="1585" spans="1:8" ht="20.100000000000001" customHeight="1">
      <c r="B1585" s="149"/>
    </row>
    <row r="1586" spans="1:8" ht="19.5">
      <c r="B1586" s="1089" t="s">
        <v>2371</v>
      </c>
      <c r="C1586" s="1089"/>
      <c r="D1586" s="1089"/>
      <c r="E1586" s="1089"/>
      <c r="F1586" s="1089"/>
      <c r="G1586" s="1089"/>
      <c r="H1586" s="1089"/>
    </row>
    <row r="1587" spans="1:8" ht="20.100000000000001" customHeight="1">
      <c r="A1587" s="282">
        <f>A1568+1</f>
        <v>93</v>
      </c>
      <c r="B1587" s="1076" t="s">
        <v>3830</v>
      </c>
      <c r="C1587" s="1089"/>
      <c r="D1587" s="1089"/>
      <c r="E1587" s="1089"/>
      <c r="F1587" s="1089"/>
      <c r="G1587" s="1089"/>
      <c r="H1587" s="1089"/>
    </row>
    <row r="1588" spans="1:8" ht="15.75">
      <c r="A1588" s="688" t="s">
        <v>4400</v>
      </c>
      <c r="B1588" s="1100" t="s">
        <v>2542</v>
      </c>
      <c r="C1588" s="1083"/>
      <c r="D1588" s="1083"/>
      <c r="E1588" s="1083"/>
      <c r="F1588" s="1083"/>
      <c r="G1588" s="1083"/>
      <c r="H1588" s="1083"/>
    </row>
    <row r="1589" spans="1:8" ht="31.5">
      <c r="B1589" s="70" t="s">
        <v>3340</v>
      </c>
      <c r="C1589" s="70" t="s">
        <v>3341</v>
      </c>
      <c r="D1589" s="70" t="s">
        <v>3342</v>
      </c>
      <c r="E1589" s="70" t="s">
        <v>3343</v>
      </c>
      <c r="F1589" s="70" t="s">
        <v>3344</v>
      </c>
      <c r="G1589" s="70" t="s">
        <v>3345</v>
      </c>
      <c r="H1589" s="70" t="s">
        <v>1704</v>
      </c>
    </row>
    <row r="1590" spans="1:8" ht="20.100000000000001" customHeight="1">
      <c r="B1590" s="1067" t="s">
        <v>1705</v>
      </c>
      <c r="C1590" s="60" t="s">
        <v>610</v>
      </c>
      <c r="D1590" s="43">
        <v>7</v>
      </c>
      <c r="E1590" s="57" t="s">
        <v>1707</v>
      </c>
      <c r="F1590" s="111">
        <f>'update Rate'!F5</f>
        <v>525</v>
      </c>
      <c r="G1590" s="111">
        <f t="shared" ref="G1590:G1596" si="49">FLOOR(D1590*F1590,0.01)</f>
        <v>3675</v>
      </c>
      <c r="H1590" s="112"/>
    </row>
    <row r="1591" spans="1:8" ht="17.25">
      <c r="B1591" s="1070"/>
      <c r="C1591" s="58" t="s">
        <v>1647</v>
      </c>
      <c r="D1591" s="45">
        <v>0.7</v>
      </c>
      <c r="E1591" s="58" t="s">
        <v>1707</v>
      </c>
      <c r="F1591" s="113">
        <f>'update Rate'!F4</f>
        <v>375</v>
      </c>
      <c r="G1591" s="65">
        <f t="shared" si="49"/>
        <v>262.5</v>
      </c>
      <c r="H1591" s="125">
        <f>SUM(G1590+G1591)</f>
        <v>3937.5</v>
      </c>
    </row>
    <row r="1592" spans="1:8" ht="17.25">
      <c r="B1592" s="1069" t="s">
        <v>2330</v>
      </c>
      <c r="C1592" s="57" t="s">
        <v>2178</v>
      </c>
      <c r="D1592" s="210">
        <v>3.4599999999999999E-2</v>
      </c>
      <c r="E1592" s="57" t="s">
        <v>2530</v>
      </c>
      <c r="F1592" s="114">
        <f>awood</f>
        <v>120054</v>
      </c>
      <c r="G1592" s="113">
        <f t="shared" si="49"/>
        <v>4153.8599999999997</v>
      </c>
      <c r="H1592" s="86"/>
    </row>
    <row r="1593" spans="1:8" ht="17.25">
      <c r="B1593" s="1094"/>
      <c r="C1593" s="55" t="s">
        <v>3831</v>
      </c>
      <c r="D1593" s="54">
        <v>4.6500000000000004</v>
      </c>
      <c r="E1593" s="55" t="s">
        <v>3170</v>
      </c>
      <c r="F1593" s="585">
        <f>plywood4</f>
        <v>156.02000000000001</v>
      </c>
      <c r="G1593" s="113">
        <f t="shared" si="49"/>
        <v>725.49</v>
      </c>
      <c r="H1593" s="88"/>
    </row>
    <row r="1594" spans="1:8" ht="17.25">
      <c r="B1594" s="1094"/>
      <c r="C1594" s="55" t="s">
        <v>2348</v>
      </c>
      <c r="D1594" s="44">
        <v>3</v>
      </c>
      <c r="E1594" s="55" t="s">
        <v>803</v>
      </c>
      <c r="F1594" s="113">
        <f>Kabja100</f>
        <v>26</v>
      </c>
      <c r="G1594" s="113">
        <f t="shared" si="49"/>
        <v>78</v>
      </c>
      <c r="H1594" s="88"/>
    </row>
    <row r="1595" spans="1:8" ht="17.25">
      <c r="B1595" s="1094"/>
      <c r="C1595" s="55" t="s">
        <v>2373</v>
      </c>
      <c r="D1595" s="44">
        <v>2</v>
      </c>
      <c r="E1595" s="55" t="s">
        <v>803</v>
      </c>
      <c r="F1595" s="113">
        <f>cheskini150</f>
        <v>59</v>
      </c>
      <c r="G1595" s="113">
        <f t="shared" si="49"/>
        <v>118</v>
      </c>
      <c r="H1595" s="88"/>
    </row>
    <row r="1596" spans="1:8" ht="17.25">
      <c r="B1596" s="1094"/>
      <c r="C1596" s="55" t="s">
        <v>3308</v>
      </c>
      <c r="D1596" s="44">
        <v>1</v>
      </c>
      <c r="E1596" s="55" t="s">
        <v>803</v>
      </c>
      <c r="F1596" s="113">
        <f>moluck</f>
        <v>525</v>
      </c>
      <c r="G1596" s="113">
        <f t="shared" si="49"/>
        <v>525</v>
      </c>
      <c r="H1596" s="88"/>
    </row>
    <row r="1597" spans="1:8" ht="15.75">
      <c r="B1597" s="1073"/>
      <c r="C1597" s="41" t="s">
        <v>3309</v>
      </c>
      <c r="D1597" s="61" t="s">
        <v>89</v>
      </c>
      <c r="E1597" s="58" t="s">
        <v>3173</v>
      </c>
      <c r="F1597" s="65"/>
      <c r="G1597" s="65">
        <v>45</v>
      </c>
      <c r="H1597" s="127">
        <f>SUM(G1592:G1597)</f>
        <v>5645.3499999999995</v>
      </c>
    </row>
    <row r="1598" spans="1:8" ht="20.100000000000001" customHeight="1">
      <c r="F1598" s="42" t="s">
        <v>1708</v>
      </c>
      <c r="G1598" s="42"/>
      <c r="H1598" s="65">
        <f>SUM(H1597,H1591)</f>
        <v>9582.8499999999985</v>
      </c>
    </row>
    <row r="1599" spans="1:8" ht="20.100000000000001" customHeight="1">
      <c r="B1599" s="1" t="s">
        <v>1710</v>
      </c>
      <c r="F1599" s="42" t="s">
        <v>1689</v>
      </c>
      <c r="G1599" s="42"/>
      <c r="H1599" s="103">
        <f>FLOOR(H1598*0.15,0.01)</f>
        <v>1437.42</v>
      </c>
    </row>
    <row r="1600" spans="1:8" ht="20.100000000000001" customHeight="1">
      <c r="A1600"/>
      <c r="B1600" s="147">
        <f>+H1600</f>
        <v>11020.269999999999</v>
      </c>
      <c r="C1600" s="28" t="s">
        <v>3384</v>
      </c>
      <c r="D1600" s="103">
        <f>INT(B1600/B1601*100)/100</f>
        <v>4908.8</v>
      </c>
      <c r="E1600" s="1" t="s">
        <v>3385</v>
      </c>
      <c r="F1600" s="42" t="s">
        <v>1711</v>
      </c>
      <c r="G1600" s="42"/>
      <c r="H1600" s="103">
        <f>SUM(H1598:H1599)</f>
        <v>11020.269999999999</v>
      </c>
    </row>
    <row r="1601" spans="1:8" ht="16.5">
      <c r="B1601" s="149">
        <v>2.2450000000000001</v>
      </c>
    </row>
    <row r="1602" spans="1:8" ht="16.5">
      <c r="B1602" s="149"/>
    </row>
    <row r="1603" spans="1:8" ht="16.5">
      <c r="B1603" s="149"/>
    </row>
    <row r="1604" spans="1:8" ht="16.5">
      <c r="B1604" s="149"/>
    </row>
    <row r="1605" spans="1:8" ht="16.5">
      <c r="B1605" s="149"/>
    </row>
    <row r="1606" spans="1:8" ht="16.5">
      <c r="B1606" s="149"/>
    </row>
    <row r="1607" spans="1:8" ht="20.100000000000001" customHeight="1">
      <c r="B1607" s="149"/>
    </row>
    <row r="1608" spans="1:8" ht="20.100000000000001" customHeight="1">
      <c r="B1608" s="1089" t="s">
        <v>2371</v>
      </c>
      <c r="C1608" s="1089"/>
      <c r="D1608" s="1089"/>
      <c r="E1608" s="1089"/>
      <c r="F1608" s="1089"/>
      <c r="G1608" s="1089"/>
      <c r="H1608" s="1089"/>
    </row>
    <row r="1609" spans="1:8" ht="18">
      <c r="A1609" s="282">
        <f>+A1587+1</f>
        <v>94</v>
      </c>
      <c r="B1609" s="1134" t="s">
        <v>3833</v>
      </c>
      <c r="C1609" s="1134"/>
      <c r="D1609" s="1134"/>
      <c r="E1609" s="1134"/>
      <c r="F1609" s="1134"/>
      <c r="G1609" s="1134"/>
      <c r="H1609" s="1134"/>
    </row>
    <row r="1610" spans="1:8" ht="20.100000000000001" customHeight="1">
      <c r="A1610" s="688" t="s">
        <v>4400</v>
      </c>
      <c r="B1610" s="1092" t="s">
        <v>2542</v>
      </c>
      <c r="C1610" s="1092"/>
      <c r="D1610" s="1092"/>
      <c r="E1610" s="1092"/>
      <c r="F1610" s="1092"/>
      <c r="G1610" s="1092"/>
      <c r="H1610" s="1092"/>
    </row>
    <row r="1611" spans="1:8" ht="31.5">
      <c r="B1611" s="70" t="s">
        <v>3340</v>
      </c>
      <c r="C1611" s="70" t="s">
        <v>3341</v>
      </c>
      <c r="D1611" s="70" t="s">
        <v>3342</v>
      </c>
      <c r="E1611" s="70" t="s">
        <v>3343</v>
      </c>
      <c r="F1611" s="70" t="s">
        <v>3344</v>
      </c>
      <c r="G1611" s="70" t="s">
        <v>3345</v>
      </c>
      <c r="H1611" s="70" t="s">
        <v>1704</v>
      </c>
    </row>
    <row r="1612" spans="1:8" ht="17.25">
      <c r="B1612" s="1067" t="s">
        <v>1705</v>
      </c>
      <c r="C1612" s="60" t="s">
        <v>610</v>
      </c>
      <c r="D1612" s="43">
        <v>7</v>
      </c>
      <c r="E1612" s="57" t="s">
        <v>1707</v>
      </c>
      <c r="F1612" s="111">
        <f>F1590</f>
        <v>525</v>
      </c>
      <c r="G1612" s="111">
        <f t="shared" ref="G1612:G1619" si="50">FLOOR(D1612*F1612,0.01)</f>
        <v>3675</v>
      </c>
      <c r="H1612" s="112"/>
    </row>
    <row r="1613" spans="1:8" ht="17.25">
      <c r="B1613" s="1070"/>
      <c r="C1613" s="58" t="s">
        <v>1647</v>
      </c>
      <c r="D1613" s="45">
        <v>0.7</v>
      </c>
      <c r="E1613" s="58" t="s">
        <v>1707</v>
      </c>
      <c r="F1613" s="113">
        <f>F1591</f>
        <v>375</v>
      </c>
      <c r="G1613" s="65">
        <f t="shared" si="50"/>
        <v>262.5</v>
      </c>
      <c r="H1613" s="125">
        <f>SUM(G1612+G1613)</f>
        <v>3937.5</v>
      </c>
    </row>
    <row r="1614" spans="1:8" ht="17.25">
      <c r="B1614" s="1069" t="s">
        <v>2330</v>
      </c>
      <c r="C1614" s="57" t="s">
        <v>2178</v>
      </c>
      <c r="D1614" s="210">
        <v>3.4599999999999999E-2</v>
      </c>
      <c r="E1614" s="57" t="s">
        <v>2530</v>
      </c>
      <c r="F1614" s="114">
        <f>F1592</f>
        <v>120054</v>
      </c>
      <c r="G1614" s="113">
        <f t="shared" si="50"/>
        <v>4153.8599999999997</v>
      </c>
      <c r="H1614" s="86"/>
    </row>
    <row r="1615" spans="1:8" ht="17.25">
      <c r="B1615" s="1094"/>
      <c r="C1615" s="62" t="s">
        <v>1820</v>
      </c>
      <c r="D1615" s="54">
        <v>2.3250000000000002</v>
      </c>
      <c r="E1615" s="55" t="s">
        <v>3170</v>
      </c>
      <c r="F1615" s="113">
        <f>'update Rate'!$F$74</f>
        <v>451.92</v>
      </c>
      <c r="G1615" s="113">
        <f t="shared" si="50"/>
        <v>1050.71</v>
      </c>
      <c r="H1615" s="88"/>
    </row>
    <row r="1616" spans="1:8" ht="17.25">
      <c r="B1616" s="1094"/>
      <c r="C1616" s="62" t="s">
        <v>3834</v>
      </c>
      <c r="D1616" s="54">
        <v>2.3250000000000002</v>
      </c>
      <c r="E1616" s="55" t="s">
        <v>3170</v>
      </c>
      <c r="F1616" s="113">
        <f>'update Rate'!$F$68</f>
        <v>156.02000000000001</v>
      </c>
      <c r="G1616" s="113">
        <f t="shared" si="50"/>
        <v>362.74</v>
      </c>
      <c r="H1616" s="88"/>
    </row>
    <row r="1617" spans="1:8" ht="17.25">
      <c r="B1617" s="1094"/>
      <c r="C1617" s="55" t="s">
        <v>2348</v>
      </c>
      <c r="D1617" s="44">
        <v>3</v>
      </c>
      <c r="E1617" s="55" t="s">
        <v>803</v>
      </c>
      <c r="F1617" s="113">
        <f>$F$1594</f>
        <v>26</v>
      </c>
      <c r="G1617" s="113">
        <f t="shared" si="50"/>
        <v>78</v>
      </c>
      <c r="H1617" s="88"/>
    </row>
    <row r="1618" spans="1:8" ht="17.25">
      <c r="B1618" s="1094"/>
      <c r="C1618" s="55" t="s">
        <v>2373</v>
      </c>
      <c r="D1618" s="44">
        <v>2</v>
      </c>
      <c r="E1618" s="55" t="s">
        <v>803</v>
      </c>
      <c r="F1618" s="113">
        <f>F1595</f>
        <v>59</v>
      </c>
      <c r="G1618" s="113">
        <f t="shared" si="50"/>
        <v>118</v>
      </c>
      <c r="H1618" s="88"/>
    </row>
    <row r="1619" spans="1:8" ht="17.25">
      <c r="B1619" s="1094"/>
      <c r="C1619" s="55" t="s">
        <v>3308</v>
      </c>
      <c r="D1619" s="44">
        <v>1</v>
      </c>
      <c r="E1619" s="55" t="s">
        <v>803</v>
      </c>
      <c r="F1619" s="113">
        <f>F1596</f>
        <v>525</v>
      </c>
      <c r="G1619" s="113">
        <f t="shared" si="50"/>
        <v>525</v>
      </c>
      <c r="H1619" s="88"/>
    </row>
    <row r="1620" spans="1:8" ht="15.75">
      <c r="B1620" s="1073"/>
      <c r="C1620" s="41" t="s">
        <v>3309</v>
      </c>
      <c r="D1620" s="61" t="s">
        <v>3171</v>
      </c>
      <c r="E1620" s="58" t="s">
        <v>3173</v>
      </c>
      <c r="F1620" s="65"/>
      <c r="G1620" s="65">
        <v>45</v>
      </c>
      <c r="H1620" s="127">
        <f>SUM(G1614:G1620)</f>
        <v>6333.3099999999995</v>
      </c>
    </row>
    <row r="1621" spans="1:8" ht="15.75">
      <c r="F1621" s="42" t="s">
        <v>1708</v>
      </c>
      <c r="G1621" s="42"/>
      <c r="H1621" s="65">
        <f>SUM(H1620,H1613)</f>
        <v>10270.81</v>
      </c>
    </row>
    <row r="1622" spans="1:8" ht="15.75">
      <c r="B1622" s="1" t="s">
        <v>1710</v>
      </c>
      <c r="F1622" s="42" t="s">
        <v>1689</v>
      </c>
      <c r="G1622" s="42"/>
      <c r="H1622" s="103">
        <f>FLOOR(H1621*0.15,0.01)</f>
        <v>1540.6200000000001</v>
      </c>
    </row>
    <row r="1623" spans="1:8" ht="15.75">
      <c r="A1623"/>
      <c r="B1623" s="147">
        <f>+H1623</f>
        <v>11811.43</v>
      </c>
      <c r="C1623" s="28" t="s">
        <v>3384</v>
      </c>
      <c r="D1623" s="103">
        <f>INT(B1623/B1624*100)/100</f>
        <v>5261.21</v>
      </c>
      <c r="E1623" s="1" t="s">
        <v>3385</v>
      </c>
      <c r="F1623" s="42" t="s">
        <v>1711</v>
      </c>
      <c r="G1623" s="42"/>
      <c r="H1623" s="103">
        <f>SUM(H1621:H1622)</f>
        <v>11811.43</v>
      </c>
    </row>
    <row r="1624" spans="1:8" ht="16.5">
      <c r="B1624" s="149">
        <v>2.2450000000000001</v>
      </c>
    </row>
    <row r="1625" spans="1:8" ht="16.5">
      <c r="B1625" s="149"/>
    </row>
    <row r="1626" spans="1:8" ht="19.5">
      <c r="B1626" s="1089" t="s">
        <v>2371</v>
      </c>
      <c r="C1626" s="1089"/>
      <c r="D1626" s="1089"/>
      <c r="E1626" s="1089"/>
      <c r="F1626" s="1089"/>
      <c r="G1626" s="1089"/>
      <c r="H1626" s="1089"/>
    </row>
    <row r="1627" spans="1:8" ht="19.5">
      <c r="A1627" s="282">
        <f>+A1609+1</f>
        <v>95</v>
      </c>
      <c r="B1627" s="1076" t="s">
        <v>986</v>
      </c>
      <c r="C1627" s="1089"/>
      <c r="D1627" s="1089"/>
      <c r="E1627" s="1089"/>
      <c r="F1627" s="1089"/>
      <c r="G1627" s="1089"/>
      <c r="H1627" s="1089"/>
    </row>
    <row r="1628" spans="1:8" ht="15.75">
      <c r="A1628" s="688" t="s">
        <v>4400</v>
      </c>
      <c r="B1628" s="1100" t="s">
        <v>2542</v>
      </c>
      <c r="C1628" s="1083"/>
      <c r="D1628" s="1083"/>
      <c r="E1628" s="1083"/>
      <c r="F1628" s="1083"/>
      <c r="G1628" s="1083"/>
      <c r="H1628" s="1083"/>
    </row>
    <row r="1629" spans="1:8" ht="31.5">
      <c r="B1629" s="70" t="s">
        <v>3340</v>
      </c>
      <c r="C1629" s="70" t="s">
        <v>3341</v>
      </c>
      <c r="D1629" s="70" t="s">
        <v>3342</v>
      </c>
      <c r="E1629" s="70" t="s">
        <v>3343</v>
      </c>
      <c r="F1629" s="70" t="s">
        <v>3344</v>
      </c>
      <c r="G1629" s="70" t="s">
        <v>3345</v>
      </c>
      <c r="H1629" s="70" t="s">
        <v>1704</v>
      </c>
    </row>
    <row r="1630" spans="1:8" ht="17.25">
      <c r="B1630" s="1142" t="s">
        <v>1705</v>
      </c>
      <c r="C1630" s="60" t="s">
        <v>610</v>
      </c>
      <c r="D1630" s="43">
        <v>7</v>
      </c>
      <c r="E1630" s="57" t="s">
        <v>1707</v>
      </c>
      <c r="F1630" s="111">
        <f>'update Rate'!F5</f>
        <v>525</v>
      </c>
      <c r="G1630" s="111">
        <f t="shared" ref="G1630:G1636" si="51">FLOOR(D1630*F1630,0.01)</f>
        <v>3675</v>
      </c>
      <c r="H1630" s="112"/>
    </row>
    <row r="1631" spans="1:8" ht="17.25">
      <c r="B1631" s="1070"/>
      <c r="C1631" s="58" t="s">
        <v>1647</v>
      </c>
      <c r="D1631" s="45">
        <v>0.7</v>
      </c>
      <c r="E1631" s="58" t="s">
        <v>1707</v>
      </c>
      <c r="F1631" s="113">
        <f>'update Rate'!F4</f>
        <v>375</v>
      </c>
      <c r="G1631" s="65">
        <f t="shared" si="51"/>
        <v>262.5</v>
      </c>
      <c r="H1631" s="125">
        <f>SUM(G1630+G1631)</f>
        <v>3937.5</v>
      </c>
    </row>
    <row r="1632" spans="1:8" ht="17.25">
      <c r="B1632" s="1127" t="s">
        <v>2330</v>
      </c>
      <c r="C1632" s="57" t="s">
        <v>2178</v>
      </c>
      <c r="D1632" s="210">
        <v>3.4599999999999999E-2</v>
      </c>
      <c r="E1632" s="57" t="s">
        <v>2530</v>
      </c>
      <c r="F1632" s="114">
        <f>awood</f>
        <v>120054</v>
      </c>
      <c r="G1632" s="113">
        <f t="shared" si="51"/>
        <v>4153.8599999999997</v>
      </c>
      <c r="H1632" s="86"/>
    </row>
    <row r="1633" spans="1:8" ht="17.25">
      <c r="B1633" s="1157"/>
      <c r="C1633" s="62" t="s">
        <v>987</v>
      </c>
      <c r="D1633" s="44">
        <v>4.6500000000000004</v>
      </c>
      <c r="E1633" s="55" t="s">
        <v>3170</v>
      </c>
      <c r="F1633" s="113">
        <f>Tikply4</f>
        <v>624.08000000000004</v>
      </c>
      <c r="G1633" s="113">
        <f t="shared" si="51"/>
        <v>2901.9700000000003</v>
      </c>
      <c r="H1633" s="88"/>
    </row>
    <row r="1634" spans="1:8" ht="20.100000000000001" customHeight="1">
      <c r="B1634" s="1157"/>
      <c r="C1634" s="55" t="s">
        <v>2348</v>
      </c>
      <c r="D1634" s="44">
        <v>3</v>
      </c>
      <c r="E1634" s="55" t="s">
        <v>803</v>
      </c>
      <c r="F1634" s="113">
        <f>Kabja100</f>
        <v>26</v>
      </c>
      <c r="G1634" s="113">
        <f t="shared" si="51"/>
        <v>78</v>
      </c>
      <c r="H1634" s="88"/>
    </row>
    <row r="1635" spans="1:8" ht="17.25">
      <c r="B1635" s="1157"/>
      <c r="C1635" s="55" t="s">
        <v>2373</v>
      </c>
      <c r="D1635" s="44">
        <v>2</v>
      </c>
      <c r="E1635" s="55" t="s">
        <v>803</v>
      </c>
      <c r="F1635" s="113">
        <f>cheskini150</f>
        <v>59</v>
      </c>
      <c r="G1635" s="113">
        <f t="shared" si="51"/>
        <v>118</v>
      </c>
      <c r="H1635" s="88"/>
    </row>
    <row r="1636" spans="1:8" ht="20.100000000000001" customHeight="1">
      <c r="B1636" s="1157"/>
      <c r="C1636" s="24" t="s">
        <v>429</v>
      </c>
      <c r="D1636" s="44">
        <v>1</v>
      </c>
      <c r="E1636" s="55" t="s">
        <v>803</v>
      </c>
      <c r="F1636" s="113">
        <f>moluck</f>
        <v>525</v>
      </c>
      <c r="G1636" s="113">
        <f t="shared" si="51"/>
        <v>525</v>
      </c>
      <c r="H1636" s="125"/>
    </row>
    <row r="1637" spans="1:8" ht="20.100000000000001" customHeight="1">
      <c r="B1637" s="1128"/>
      <c r="C1637" s="58" t="s">
        <v>2179</v>
      </c>
      <c r="D1637" s="61" t="s">
        <v>89</v>
      </c>
      <c r="E1637" s="58" t="s">
        <v>3173</v>
      </c>
      <c r="F1637" s="65"/>
      <c r="G1637" s="65">
        <v>45</v>
      </c>
      <c r="H1637" s="127">
        <f>SUM(G1632:G1637)</f>
        <v>7821.83</v>
      </c>
    </row>
    <row r="1638" spans="1:8" ht="20.100000000000001" customHeight="1">
      <c r="F1638" s="42" t="s">
        <v>1708</v>
      </c>
      <c r="G1638" s="42"/>
      <c r="H1638" s="65">
        <f>SUM(H1631:H1637)</f>
        <v>11759.33</v>
      </c>
    </row>
    <row r="1639" spans="1:8" ht="20.100000000000001" customHeight="1">
      <c r="B1639" s="1" t="s">
        <v>1710</v>
      </c>
      <c r="F1639" s="42" t="s">
        <v>1689</v>
      </c>
      <c r="G1639" s="42"/>
      <c r="H1639" s="103">
        <f>FLOOR(H1638*0.15,0.01)</f>
        <v>1763.89</v>
      </c>
    </row>
    <row r="1640" spans="1:8" ht="15.75">
      <c r="A1640"/>
      <c r="B1640" s="147">
        <f>+H1640</f>
        <v>13523.22</v>
      </c>
      <c r="C1640" s="28" t="s">
        <v>3384</v>
      </c>
      <c r="D1640" s="103">
        <f>INT(B1640/B1641*100)/100</f>
        <v>6023.7</v>
      </c>
      <c r="E1640" s="1" t="s">
        <v>3385</v>
      </c>
      <c r="F1640" s="42" t="s">
        <v>1711</v>
      </c>
      <c r="G1640" s="42"/>
      <c r="H1640" s="103">
        <f>SUM(H1638:H1639)</f>
        <v>13523.22</v>
      </c>
    </row>
    <row r="1641" spans="1:8" ht="20.100000000000001" customHeight="1">
      <c r="B1641" s="149">
        <v>2.2450000000000001</v>
      </c>
    </row>
    <row r="1642" spans="1:8" ht="20.100000000000001" customHeight="1">
      <c r="B1642" s="149"/>
    </row>
    <row r="1643" spans="1:8" ht="20.100000000000001" customHeight="1">
      <c r="B1643" s="149"/>
    </row>
    <row r="1644" spans="1:8" ht="20.100000000000001" customHeight="1">
      <c r="B1644" s="149"/>
    </row>
    <row r="1645" spans="1:8" ht="20.100000000000001" customHeight="1">
      <c r="B1645" s="149"/>
    </row>
    <row r="1646" spans="1:8" ht="20.100000000000001" customHeight="1">
      <c r="B1646" s="149"/>
    </row>
    <row r="1647" spans="1:8" ht="20.100000000000001" customHeight="1">
      <c r="B1647" s="149"/>
    </row>
    <row r="1648" spans="1:8" ht="20.100000000000001" customHeight="1">
      <c r="B1648" s="149"/>
    </row>
    <row r="1649" spans="1:8" ht="20.100000000000001" customHeight="1">
      <c r="B1649" s="149"/>
    </row>
    <row r="1650" spans="1:8" ht="16.5">
      <c r="B1650" s="149"/>
    </row>
    <row r="1651" spans="1:8" ht="19.5">
      <c r="B1651" s="1089" t="s">
        <v>2371</v>
      </c>
      <c r="C1651" s="1089"/>
      <c r="D1651" s="1089"/>
      <c r="E1651" s="1089"/>
      <c r="F1651" s="1089"/>
      <c r="G1651" s="1089"/>
      <c r="H1651" s="1089"/>
    </row>
    <row r="1652" spans="1:8" ht="20.100000000000001" customHeight="1">
      <c r="A1652" s="282">
        <f>+A1627+1</f>
        <v>96</v>
      </c>
      <c r="B1652" s="1076" t="s">
        <v>3840</v>
      </c>
      <c r="C1652" s="1149"/>
      <c r="D1652" s="1149"/>
      <c r="E1652" s="1149"/>
      <c r="F1652" s="1149"/>
      <c r="G1652" s="1149"/>
      <c r="H1652" s="1149"/>
    </row>
    <row r="1653" spans="1:8" ht="20.100000000000001" customHeight="1">
      <c r="A1653" s="688" t="s">
        <v>4400</v>
      </c>
      <c r="B1653" s="1100" t="s">
        <v>2542</v>
      </c>
      <c r="C1653" s="1083"/>
      <c r="D1653" s="1083"/>
      <c r="E1653" s="1083"/>
      <c r="F1653" s="1083"/>
      <c r="G1653" s="1083"/>
      <c r="H1653" s="1083"/>
    </row>
    <row r="1654" spans="1:8" ht="20.100000000000001" customHeight="1">
      <c r="B1654" s="70" t="s">
        <v>3340</v>
      </c>
      <c r="C1654" s="70" t="s">
        <v>3341</v>
      </c>
      <c r="D1654" s="70" t="s">
        <v>3342</v>
      </c>
      <c r="E1654" s="70" t="s">
        <v>3343</v>
      </c>
      <c r="F1654" s="70" t="s">
        <v>3344</v>
      </c>
      <c r="G1654" s="70" t="s">
        <v>3345</v>
      </c>
      <c r="H1654" s="70" t="s">
        <v>1704</v>
      </c>
    </row>
    <row r="1655" spans="1:8" ht="20.100000000000001" customHeight="1">
      <c r="B1655" s="1067" t="s">
        <v>1705</v>
      </c>
      <c r="C1655" s="60" t="s">
        <v>610</v>
      </c>
      <c r="D1655" s="43">
        <v>7</v>
      </c>
      <c r="E1655" s="57" t="s">
        <v>1707</v>
      </c>
      <c r="F1655" s="111">
        <f>'update Rate'!F5</f>
        <v>525</v>
      </c>
      <c r="G1655" s="111">
        <f t="shared" ref="G1655:G1656" si="52">FLOOR(D1655*F1655,0.01)</f>
        <v>3675</v>
      </c>
      <c r="H1655" s="112"/>
    </row>
    <row r="1656" spans="1:8" ht="17.25">
      <c r="B1656" s="1070"/>
      <c r="C1656" s="58" t="s">
        <v>1647</v>
      </c>
      <c r="D1656" s="45">
        <v>0.7</v>
      </c>
      <c r="E1656" s="58" t="s">
        <v>1707</v>
      </c>
      <c r="F1656" s="113">
        <f>'update Rate'!F4</f>
        <v>375</v>
      </c>
      <c r="G1656" s="65">
        <f t="shared" si="52"/>
        <v>262.5</v>
      </c>
      <c r="H1656" s="125">
        <f>SUM(G1655+G1656)</f>
        <v>3937.5</v>
      </c>
    </row>
    <row r="1657" spans="1:8" ht="17.25">
      <c r="B1657" s="1069" t="s">
        <v>2330</v>
      </c>
      <c r="C1657" s="57" t="s">
        <v>2178</v>
      </c>
      <c r="D1657" s="210">
        <v>3.4599999999999999E-2</v>
      </c>
      <c r="E1657" s="57" t="s">
        <v>2530</v>
      </c>
      <c r="F1657" s="114">
        <f>awood</f>
        <v>120054</v>
      </c>
      <c r="G1657" s="113">
        <f>FLOOR(D1657*F1657,0.01)</f>
        <v>4153.8599999999997</v>
      </c>
      <c r="H1657" s="86"/>
    </row>
    <row r="1658" spans="1:8" ht="17.25">
      <c r="B1658" s="1094"/>
      <c r="C1658" s="62" t="s">
        <v>3839</v>
      </c>
      <c r="D1658" s="44">
        <v>4.6500000000000004</v>
      </c>
      <c r="E1658" s="55" t="s">
        <v>3170</v>
      </c>
      <c r="F1658" s="113">
        <f>+'update Rate'!F96</f>
        <v>404.63</v>
      </c>
      <c r="G1658" s="113">
        <f t="shared" ref="G1658:G1662" si="53">FLOOR(D1658*F1658,0.01)</f>
        <v>1881.52</v>
      </c>
      <c r="H1658" s="88"/>
    </row>
    <row r="1659" spans="1:8" ht="17.25">
      <c r="B1659" s="1094"/>
      <c r="C1659" s="55" t="s">
        <v>2348</v>
      </c>
      <c r="D1659" s="44">
        <v>3</v>
      </c>
      <c r="E1659" s="55" t="s">
        <v>803</v>
      </c>
      <c r="F1659" s="113">
        <f>Kabja100</f>
        <v>26</v>
      </c>
      <c r="G1659" s="113">
        <f t="shared" si="53"/>
        <v>78</v>
      </c>
      <c r="H1659" s="88"/>
    </row>
    <row r="1660" spans="1:8" ht="17.25">
      <c r="B1660" s="1094"/>
      <c r="C1660" s="55" t="s">
        <v>2373</v>
      </c>
      <c r="D1660" s="44">
        <v>2</v>
      </c>
      <c r="E1660" s="55" t="s">
        <v>803</v>
      </c>
      <c r="F1660" s="113">
        <f>cheskini150</f>
        <v>59</v>
      </c>
      <c r="G1660" s="113">
        <f t="shared" si="53"/>
        <v>118</v>
      </c>
      <c r="H1660" s="88"/>
    </row>
    <row r="1661" spans="1:8" ht="17.25">
      <c r="B1661" s="1094"/>
      <c r="C1661" s="55" t="s">
        <v>3383</v>
      </c>
      <c r="D1661" s="44">
        <v>1</v>
      </c>
      <c r="E1661" s="55" t="s">
        <v>803</v>
      </c>
      <c r="F1661" s="113">
        <f>shandle</f>
        <v>24</v>
      </c>
      <c r="G1661" s="113">
        <f t="shared" si="53"/>
        <v>24</v>
      </c>
      <c r="H1661" s="88"/>
    </row>
    <row r="1662" spans="1:8" ht="17.25">
      <c r="B1662" s="1094"/>
      <c r="C1662" s="55" t="s">
        <v>3310</v>
      </c>
      <c r="D1662" s="44">
        <v>1</v>
      </c>
      <c r="E1662" s="55" t="s">
        <v>803</v>
      </c>
      <c r="F1662" s="113">
        <f>moluck</f>
        <v>525</v>
      </c>
      <c r="G1662" s="113">
        <f t="shared" si="53"/>
        <v>525</v>
      </c>
      <c r="H1662" s="125"/>
    </row>
    <row r="1663" spans="1:8" ht="15.75">
      <c r="B1663" s="1073"/>
      <c r="C1663" s="58" t="s">
        <v>2179</v>
      </c>
      <c r="D1663" s="61" t="s">
        <v>3171</v>
      </c>
      <c r="E1663" s="58" t="s">
        <v>3173</v>
      </c>
      <c r="F1663" s="65"/>
      <c r="G1663" s="65">
        <v>45</v>
      </c>
      <c r="H1663" s="127">
        <f>SUM(G1657:G1663)</f>
        <v>6825.3799999999992</v>
      </c>
    </row>
    <row r="1664" spans="1:8" ht="15.75">
      <c r="F1664" s="42" t="s">
        <v>1708</v>
      </c>
      <c r="G1664" s="42"/>
      <c r="H1664" s="65">
        <f>SUM(H1656:H1663)</f>
        <v>10762.88</v>
      </c>
    </row>
    <row r="1665" spans="1:8" ht="15.75">
      <c r="B1665" s="1" t="s">
        <v>1710</v>
      </c>
      <c r="F1665" s="42" t="s">
        <v>1689</v>
      </c>
      <c r="G1665" s="42"/>
      <c r="H1665" s="103">
        <f>FLOOR(H1664*0.15,0.01)</f>
        <v>1614.43</v>
      </c>
    </row>
    <row r="1666" spans="1:8" ht="15.75">
      <c r="A1666"/>
      <c r="B1666" s="147">
        <f>+H1666</f>
        <v>12377.31</v>
      </c>
      <c r="C1666" s="28" t="s">
        <v>3384</v>
      </c>
      <c r="D1666" s="103">
        <f>INT(B1666/B1667*100)/100</f>
        <v>5513.27</v>
      </c>
      <c r="E1666" s="1" t="s">
        <v>3385</v>
      </c>
      <c r="F1666" s="42" t="s">
        <v>1711</v>
      </c>
      <c r="G1666" s="42"/>
      <c r="H1666" s="103">
        <f>SUM(H1664:H1665)</f>
        <v>12377.31</v>
      </c>
    </row>
    <row r="1667" spans="1:8" ht="16.5">
      <c r="B1667" s="149">
        <v>2.2450000000000001</v>
      </c>
    </row>
    <row r="1668" spans="1:8" ht="16.5">
      <c r="B1668" s="149"/>
    </row>
    <row r="1669" spans="1:8" ht="19.5">
      <c r="B1669" s="1089" t="s">
        <v>2371</v>
      </c>
      <c r="C1669" s="1089"/>
      <c r="D1669" s="1089"/>
      <c r="E1669" s="1089"/>
      <c r="F1669" s="1089"/>
      <c r="G1669" s="1089"/>
      <c r="H1669" s="1089"/>
    </row>
    <row r="1670" spans="1:8" ht="19.5">
      <c r="A1670" s="282">
        <f>+A1652+1</f>
        <v>97</v>
      </c>
      <c r="B1670" s="1076" t="s">
        <v>3843</v>
      </c>
      <c r="C1670" s="1077"/>
      <c r="D1670" s="1077"/>
      <c r="E1670" s="1077"/>
      <c r="F1670" s="1077"/>
      <c r="G1670" s="1077"/>
      <c r="H1670" s="1077"/>
    </row>
    <row r="1671" spans="1:8" ht="15.75">
      <c r="A1671" s="688" t="s">
        <v>4400</v>
      </c>
      <c r="B1671" s="1100" t="s">
        <v>127</v>
      </c>
      <c r="C1671" s="1083"/>
      <c r="D1671" s="1083"/>
      <c r="E1671" s="1083"/>
      <c r="F1671" s="1083"/>
      <c r="G1671" s="1083"/>
      <c r="H1671" s="1083"/>
    </row>
    <row r="1672" spans="1:8" ht="31.5">
      <c r="B1672" s="70" t="s">
        <v>3340</v>
      </c>
      <c r="C1672" s="70" t="s">
        <v>3341</v>
      </c>
      <c r="D1672" s="70" t="s">
        <v>3342</v>
      </c>
      <c r="E1672" s="70" t="s">
        <v>3343</v>
      </c>
      <c r="F1672" s="70" t="s">
        <v>3344</v>
      </c>
      <c r="G1672" s="70" t="s">
        <v>3345</v>
      </c>
      <c r="H1672" s="70" t="s">
        <v>1704</v>
      </c>
    </row>
    <row r="1673" spans="1:8" ht="17.25">
      <c r="B1673" s="1067" t="s">
        <v>1705</v>
      </c>
      <c r="C1673" s="60" t="s">
        <v>610</v>
      </c>
      <c r="D1673" s="43">
        <v>5</v>
      </c>
      <c r="E1673" s="57" t="s">
        <v>1707</v>
      </c>
      <c r="F1673" s="111">
        <f>mason</f>
        <v>525</v>
      </c>
      <c r="G1673" s="111">
        <f t="shared" ref="G1673:G1680" si="54">FLOOR(D1673*F1673,0.01)</f>
        <v>2625</v>
      </c>
      <c r="H1673" s="112"/>
    </row>
    <row r="1674" spans="1:8" ht="17.25">
      <c r="B1674" s="1099"/>
      <c r="C1674" s="58" t="s">
        <v>1647</v>
      </c>
      <c r="D1674" s="45">
        <v>0.5</v>
      </c>
      <c r="E1674" s="58" t="s">
        <v>1707</v>
      </c>
      <c r="F1674" s="113">
        <f>'update Rate'!E4</f>
        <v>375</v>
      </c>
      <c r="G1674" s="65">
        <f t="shared" si="54"/>
        <v>187.5</v>
      </c>
      <c r="H1674" s="125">
        <f>SUM(G1673+G1674)</f>
        <v>2812.5</v>
      </c>
    </row>
    <row r="1675" spans="1:8" ht="17.25">
      <c r="B1675" s="1069" t="s">
        <v>2330</v>
      </c>
      <c r="C1675" s="57" t="s">
        <v>2178</v>
      </c>
      <c r="D1675" s="48">
        <v>2.5999999999999999E-2</v>
      </c>
      <c r="E1675" s="57" t="s">
        <v>2530</v>
      </c>
      <c r="F1675" s="114">
        <f>awood</f>
        <v>120054</v>
      </c>
      <c r="G1675" s="113">
        <f t="shared" si="54"/>
        <v>3121.4</v>
      </c>
      <c r="H1675" s="86"/>
    </row>
    <row r="1676" spans="1:8" ht="17.25">
      <c r="B1676" s="1094"/>
      <c r="C1676" s="62" t="s">
        <v>3835</v>
      </c>
      <c r="D1676" s="44">
        <v>2.13</v>
      </c>
      <c r="E1676" s="55" t="s">
        <v>3170</v>
      </c>
      <c r="F1676" s="113">
        <f>giwire24</f>
        <v>105</v>
      </c>
      <c r="G1676" s="113">
        <f t="shared" si="54"/>
        <v>223.65</v>
      </c>
      <c r="H1676" s="88"/>
    </row>
    <row r="1677" spans="1:8" ht="17.25">
      <c r="B1677" s="1094"/>
      <c r="C1677" s="55" t="s">
        <v>2348</v>
      </c>
      <c r="D1677" s="44">
        <v>3</v>
      </c>
      <c r="E1677" s="55" t="s">
        <v>803</v>
      </c>
      <c r="F1677" s="113">
        <f>Kabja100</f>
        <v>26</v>
      </c>
      <c r="G1677" s="113">
        <f t="shared" si="54"/>
        <v>78</v>
      </c>
      <c r="H1677" s="88"/>
    </row>
    <row r="1678" spans="1:8" ht="17.25">
      <c r="B1678" s="1094"/>
      <c r="C1678" s="55" t="s">
        <v>2373</v>
      </c>
      <c r="D1678" s="44">
        <v>2</v>
      </c>
      <c r="E1678" s="55" t="s">
        <v>803</v>
      </c>
      <c r="F1678" s="113">
        <f>cheskini150</f>
        <v>59</v>
      </c>
      <c r="G1678" s="113">
        <f t="shared" si="54"/>
        <v>118</v>
      </c>
      <c r="H1678" s="88"/>
    </row>
    <row r="1679" spans="1:8" ht="17.25">
      <c r="B1679" s="1094"/>
      <c r="C1679" s="55" t="s">
        <v>3383</v>
      </c>
      <c r="D1679" s="44">
        <v>2</v>
      </c>
      <c r="E1679" s="55" t="s">
        <v>803</v>
      </c>
      <c r="F1679" s="113">
        <f>shandle</f>
        <v>24</v>
      </c>
      <c r="G1679" s="113">
        <f t="shared" si="54"/>
        <v>48</v>
      </c>
      <c r="H1679" s="88"/>
    </row>
    <row r="1680" spans="1:8" ht="17.25">
      <c r="B1680" s="1094"/>
      <c r="C1680" s="55" t="s">
        <v>1055</v>
      </c>
      <c r="D1680" s="44">
        <v>1</v>
      </c>
      <c r="E1680" s="55" t="s">
        <v>803</v>
      </c>
      <c r="F1680" s="113">
        <f>'update Rate'!$F$136</f>
        <v>157</v>
      </c>
      <c r="G1680" s="113">
        <f t="shared" si="54"/>
        <v>157</v>
      </c>
      <c r="H1680" s="88"/>
    </row>
    <row r="1681" spans="1:8" ht="15.75">
      <c r="B1681" s="1073"/>
      <c r="C1681" s="58" t="s">
        <v>2179</v>
      </c>
      <c r="D1681" s="61" t="s">
        <v>89</v>
      </c>
      <c r="E1681" s="58" t="s">
        <v>3173</v>
      </c>
      <c r="F1681" s="65"/>
      <c r="G1681" s="65">
        <v>45</v>
      </c>
      <c r="H1681" s="127">
        <f>SUM(G1675:G1681)</f>
        <v>3791.05</v>
      </c>
    </row>
    <row r="1682" spans="1:8" ht="15.75">
      <c r="F1682" s="42" t="s">
        <v>1708</v>
      </c>
      <c r="G1682" s="42"/>
      <c r="H1682" s="65">
        <f>SUM(H1681,H1674)</f>
        <v>6603.55</v>
      </c>
    </row>
    <row r="1683" spans="1:8" ht="15.75">
      <c r="B1683" s="1" t="s">
        <v>1710</v>
      </c>
      <c r="F1683" s="42" t="s">
        <v>1689</v>
      </c>
      <c r="G1683" s="42"/>
      <c r="H1683" s="103">
        <f>FLOOR(H1682*0.15,0.01)</f>
        <v>990.53</v>
      </c>
    </row>
    <row r="1684" spans="1:8" ht="15.75">
      <c r="A1684"/>
      <c r="B1684" s="147">
        <f>+H1684</f>
        <v>7594.08</v>
      </c>
      <c r="C1684" s="28" t="s">
        <v>3384</v>
      </c>
      <c r="D1684" s="103">
        <f>INT(B1684/B1685*100)/100</f>
        <v>3382.66</v>
      </c>
      <c r="E1684" s="1" t="s">
        <v>3385</v>
      </c>
      <c r="F1684" s="42" t="s">
        <v>1711</v>
      </c>
      <c r="G1684" s="42"/>
      <c r="H1684" s="103">
        <f>SUM(H1682:H1683)</f>
        <v>7594.08</v>
      </c>
    </row>
    <row r="1685" spans="1:8" ht="16.5">
      <c r="B1685" s="149">
        <v>2.2450000000000001</v>
      </c>
    </row>
    <row r="1686" spans="1:8" ht="16.5">
      <c r="B1686" s="149"/>
    </row>
    <row r="1687" spans="1:8" ht="19.5">
      <c r="B1687" s="1089" t="s">
        <v>2371</v>
      </c>
      <c r="C1687" s="1089"/>
      <c r="D1687" s="1089"/>
      <c r="E1687" s="1089"/>
      <c r="F1687" s="1089"/>
      <c r="G1687" s="1089"/>
      <c r="H1687" s="1089"/>
    </row>
    <row r="1688" spans="1:8" ht="19.5">
      <c r="A1688" s="282">
        <f>+A1670+1</f>
        <v>98</v>
      </c>
      <c r="B1688" s="1076" t="s">
        <v>3841</v>
      </c>
      <c r="C1688" s="1077"/>
      <c r="D1688" s="1077"/>
      <c r="E1688" s="1077"/>
      <c r="F1688" s="1077"/>
      <c r="G1688" s="1077"/>
      <c r="H1688" s="1077"/>
    </row>
    <row r="1689" spans="1:8" ht="15.75">
      <c r="A1689" s="688" t="s">
        <v>4400</v>
      </c>
      <c r="B1689" s="1100" t="s">
        <v>127</v>
      </c>
      <c r="C1689" s="1083"/>
      <c r="D1689" s="1083"/>
      <c r="E1689" s="1083"/>
      <c r="F1689" s="1083"/>
      <c r="G1689" s="1083"/>
      <c r="H1689" s="1083"/>
    </row>
    <row r="1690" spans="1:8" ht="31.5">
      <c r="B1690" s="70" t="s">
        <v>3340</v>
      </c>
      <c r="C1690" s="70" t="s">
        <v>3341</v>
      </c>
      <c r="D1690" s="70" t="s">
        <v>3342</v>
      </c>
      <c r="E1690" s="70" t="s">
        <v>3343</v>
      </c>
      <c r="F1690" s="70" t="s">
        <v>3344</v>
      </c>
      <c r="G1690" s="70" t="s">
        <v>3345</v>
      </c>
      <c r="H1690" s="70" t="s">
        <v>1704</v>
      </c>
    </row>
    <row r="1691" spans="1:8" ht="17.25">
      <c r="B1691" s="1067" t="s">
        <v>1705</v>
      </c>
      <c r="C1691" s="703" t="s">
        <v>610</v>
      </c>
      <c r="D1691" s="43">
        <v>5</v>
      </c>
      <c r="E1691" s="57" t="s">
        <v>1707</v>
      </c>
      <c r="F1691" s="111">
        <f>mason</f>
        <v>525</v>
      </c>
      <c r="G1691" s="111">
        <f>FLOOR(D1691*F1691,0.01)</f>
        <v>2625</v>
      </c>
      <c r="H1691" s="706"/>
    </row>
    <row r="1692" spans="1:8" ht="17.25">
      <c r="B1692" s="1099"/>
      <c r="C1692" s="58" t="s">
        <v>1647</v>
      </c>
      <c r="D1692" s="45">
        <v>0.5</v>
      </c>
      <c r="E1692" s="58" t="s">
        <v>1707</v>
      </c>
      <c r="F1692" s="113">
        <f>'update Rate'!F4</f>
        <v>375</v>
      </c>
      <c r="G1692" s="65">
        <f>FLOOR(D1692*F1692,0.01)</f>
        <v>187.5</v>
      </c>
      <c r="H1692" s="708">
        <f>SUM(G1691+G1692)</f>
        <v>2812.5</v>
      </c>
    </row>
    <row r="1693" spans="1:8" ht="17.25">
      <c r="B1693" s="1069" t="s">
        <v>2330</v>
      </c>
      <c r="C1693" s="57" t="s">
        <v>2178</v>
      </c>
      <c r="D1693" s="48">
        <v>2.5999999999999999E-2</v>
      </c>
      <c r="E1693" s="57" t="s">
        <v>2530</v>
      </c>
      <c r="F1693" s="114">
        <f>awood</f>
        <v>120054</v>
      </c>
      <c r="G1693" s="113">
        <f>FLOOR(D1693*F1693,0.01)</f>
        <v>3121.4</v>
      </c>
      <c r="H1693" s="705"/>
    </row>
    <row r="1694" spans="1:8" ht="17.25">
      <c r="B1694" s="1094"/>
      <c r="C1694" s="62" t="s">
        <v>3835</v>
      </c>
      <c r="D1694" s="44">
        <v>2.13</v>
      </c>
      <c r="E1694" s="55" t="s">
        <v>3170</v>
      </c>
      <c r="F1694" s="113">
        <f>giwire24</f>
        <v>105</v>
      </c>
      <c r="G1694" s="113">
        <f>FLOOR(D1694*F1694,0.01)</f>
        <v>223.65</v>
      </c>
      <c r="H1694" s="88"/>
    </row>
    <row r="1695" spans="1:8" ht="17.25">
      <c r="B1695" s="1094"/>
      <c r="C1695" s="62" t="s">
        <v>3842</v>
      </c>
      <c r="D1695" s="44">
        <v>2.13</v>
      </c>
      <c r="E1695" s="55" t="s">
        <v>3170</v>
      </c>
      <c r="F1695" s="113">
        <f>'update Rate'!$F$50</f>
        <v>150</v>
      </c>
      <c r="G1695" s="113">
        <f t="shared" ref="G1695:G1696" si="55">FLOOR(D1695*F1695,0.01)</f>
        <v>319.5</v>
      </c>
      <c r="H1695" s="88"/>
    </row>
    <row r="1696" spans="1:8" ht="17.25">
      <c r="B1696" s="1094"/>
      <c r="C1696" s="55" t="s">
        <v>2348</v>
      </c>
      <c r="D1696" s="44">
        <v>3</v>
      </c>
      <c r="E1696" s="55" t="s">
        <v>803</v>
      </c>
      <c r="F1696" s="113">
        <f>Kabja100</f>
        <v>26</v>
      </c>
      <c r="G1696" s="113">
        <f t="shared" si="55"/>
        <v>78</v>
      </c>
      <c r="H1696" s="88"/>
    </row>
    <row r="1697" spans="1:8" ht="17.25">
      <c r="B1697" s="1094"/>
      <c r="C1697" s="55" t="s">
        <v>2373</v>
      </c>
      <c r="D1697" s="44">
        <v>2</v>
      </c>
      <c r="E1697" s="55" t="s">
        <v>803</v>
      </c>
      <c r="F1697" s="113">
        <f>cheskini150</f>
        <v>59</v>
      </c>
      <c r="G1697" s="113">
        <f>FLOOR(D1697*F1697,0.01)</f>
        <v>118</v>
      </c>
      <c r="H1697" s="88"/>
    </row>
    <row r="1698" spans="1:8" ht="17.25">
      <c r="B1698" s="1094"/>
      <c r="C1698" s="55" t="s">
        <v>3383</v>
      </c>
      <c r="D1698" s="44">
        <v>2</v>
      </c>
      <c r="E1698" s="55" t="s">
        <v>803</v>
      </c>
      <c r="F1698" s="113">
        <f>shandle</f>
        <v>24</v>
      </c>
      <c r="G1698" s="113">
        <f>FLOOR(D1698*F1698,0.01)</f>
        <v>48</v>
      </c>
      <c r="H1698" s="88"/>
    </row>
    <row r="1699" spans="1:8" ht="17.25">
      <c r="B1699" s="1094"/>
      <c r="C1699" s="55" t="s">
        <v>1055</v>
      </c>
      <c r="D1699" s="44">
        <v>1</v>
      </c>
      <c r="E1699" s="55" t="s">
        <v>803</v>
      </c>
      <c r="F1699" s="113">
        <f>'update Rate'!$F$136</f>
        <v>157</v>
      </c>
      <c r="G1699" s="113">
        <f>FLOOR(D1699*F1699,0.01)</f>
        <v>157</v>
      </c>
      <c r="H1699" s="88"/>
    </row>
    <row r="1700" spans="1:8" ht="15.75">
      <c r="B1700" s="1073"/>
      <c r="C1700" s="58" t="s">
        <v>2179</v>
      </c>
      <c r="D1700" s="61" t="s">
        <v>3171</v>
      </c>
      <c r="E1700" s="58" t="s">
        <v>3173</v>
      </c>
      <c r="F1700" s="65"/>
      <c r="G1700" s="65">
        <v>45</v>
      </c>
      <c r="H1700" s="707">
        <f>SUM(G1693:G1700)</f>
        <v>4110.55</v>
      </c>
    </row>
    <row r="1701" spans="1:8" ht="15.75">
      <c r="F1701" s="42" t="s">
        <v>1708</v>
      </c>
      <c r="G1701" s="42"/>
      <c r="H1701" s="65">
        <f>SUM(H1700,H1692)</f>
        <v>6923.05</v>
      </c>
    </row>
    <row r="1702" spans="1:8" ht="15.75">
      <c r="B1702" s="1" t="s">
        <v>1710</v>
      </c>
      <c r="F1702" s="42" t="s">
        <v>1689</v>
      </c>
      <c r="G1702" s="42"/>
      <c r="H1702" s="103">
        <f>FLOOR(H1701*0.15,0.01)</f>
        <v>1038.45</v>
      </c>
    </row>
    <row r="1703" spans="1:8" ht="15.75">
      <c r="A1703"/>
      <c r="B1703" s="147">
        <f>+H1703</f>
        <v>7961.5</v>
      </c>
      <c r="C1703" s="28" t="s">
        <v>3384</v>
      </c>
      <c r="D1703" s="103">
        <f>INT(B1703/B1704*100)/100</f>
        <v>3546.32</v>
      </c>
      <c r="E1703" s="1" t="s">
        <v>3385</v>
      </c>
      <c r="F1703" s="42" t="s">
        <v>1711</v>
      </c>
      <c r="G1703" s="42"/>
      <c r="H1703" s="103">
        <f>SUM(H1701:H1702)</f>
        <v>7961.5</v>
      </c>
    </row>
    <row r="1704" spans="1:8" ht="16.5">
      <c r="B1704" s="149">
        <v>2.2450000000000001</v>
      </c>
    </row>
    <row r="1705" spans="1:8" ht="16.5">
      <c r="B1705" s="149"/>
    </row>
    <row r="1706" spans="1:8" ht="19.5">
      <c r="A1706" s="282">
        <f>A1688+1</f>
        <v>99</v>
      </c>
      <c r="B1706" s="1089" t="s">
        <v>1333</v>
      </c>
      <c r="C1706" s="1089"/>
      <c r="D1706" s="1089"/>
      <c r="E1706" s="1089"/>
      <c r="F1706" s="1089"/>
      <c r="G1706" s="1089"/>
      <c r="H1706" s="1089"/>
    </row>
    <row r="1707" spans="1:8" ht="15.75">
      <c r="A1707" s="688" t="s">
        <v>4401</v>
      </c>
      <c r="B1707" s="1100" t="s">
        <v>1334</v>
      </c>
      <c r="C1707" s="1083"/>
      <c r="D1707" s="1083"/>
      <c r="E1707" s="1083"/>
      <c r="F1707" s="1083"/>
      <c r="G1707" s="1083"/>
      <c r="H1707" s="1083"/>
    </row>
    <row r="1708" spans="1:8" ht="31.5">
      <c r="B1708" s="70" t="s">
        <v>3340</v>
      </c>
      <c r="C1708" s="70" t="s">
        <v>3341</v>
      </c>
      <c r="D1708" s="70" t="s">
        <v>3342</v>
      </c>
      <c r="E1708" s="70" t="s">
        <v>3343</v>
      </c>
      <c r="F1708" s="70" t="s">
        <v>3344</v>
      </c>
      <c r="G1708" s="70" t="s">
        <v>3345</v>
      </c>
      <c r="H1708" s="70" t="s">
        <v>1704</v>
      </c>
    </row>
    <row r="1709" spans="1:8" ht="17.25">
      <c r="B1709" s="1067" t="s">
        <v>1705</v>
      </c>
      <c r="C1709" s="60" t="s">
        <v>610</v>
      </c>
      <c r="D1709" s="43">
        <v>0.06</v>
      </c>
      <c r="E1709" s="57" t="s">
        <v>1707</v>
      </c>
      <c r="F1709" s="111">
        <f>mason</f>
        <v>525</v>
      </c>
      <c r="G1709" s="111">
        <f>FLOOR(D1709*F1709,0.01)</f>
        <v>31.5</v>
      </c>
      <c r="H1709" s="112"/>
    </row>
    <row r="1710" spans="1:8" ht="17.25">
      <c r="B1710" s="1099"/>
      <c r="C1710" s="58" t="s">
        <v>1647</v>
      </c>
      <c r="D1710" s="51">
        <v>6.0000000000000001E-3</v>
      </c>
      <c r="E1710" s="58" t="s">
        <v>1707</v>
      </c>
      <c r="F1710" s="65">
        <f>'update Rate'!E4</f>
        <v>375</v>
      </c>
      <c r="G1710" s="65">
        <f>FLOOR(D1710*F1710,0.01)</f>
        <v>2.25</v>
      </c>
      <c r="H1710" s="127">
        <f>SUM(G1709+G1710)</f>
        <v>33.75</v>
      </c>
    </row>
    <row r="1711" spans="1:8" ht="17.25">
      <c r="B1711" s="1094"/>
      <c r="C1711" s="62" t="s">
        <v>1336</v>
      </c>
      <c r="D1711" s="44">
        <v>1</v>
      </c>
      <c r="E1711" s="55" t="s">
        <v>3170</v>
      </c>
      <c r="F1711" s="113">
        <f>giwire24</f>
        <v>105</v>
      </c>
      <c r="G1711" s="113">
        <f>FLOOR(D1711*F1711,0.01)</f>
        <v>105</v>
      </c>
      <c r="H1711" s="88"/>
    </row>
    <row r="1712" spans="1:8" ht="17.25">
      <c r="B1712" s="1094"/>
      <c r="C1712" s="55" t="s">
        <v>1335</v>
      </c>
      <c r="D1712" s="44">
        <v>4.05</v>
      </c>
      <c r="E1712" s="56" t="s">
        <v>2938</v>
      </c>
      <c r="F1712" s="113">
        <f>'update Rate'!$F$133</f>
        <v>39.36</v>
      </c>
      <c r="G1712" s="113">
        <f>FLOOR(D1712*F1712,0.01)</f>
        <v>159.4</v>
      </c>
      <c r="H1712" s="88"/>
    </row>
    <row r="1713" spans="1:8" ht="15.75">
      <c r="B1713" s="1073"/>
      <c r="C1713" s="58" t="s">
        <v>2179</v>
      </c>
      <c r="D1713" s="61" t="s">
        <v>3171</v>
      </c>
      <c r="E1713" s="58" t="s">
        <v>3173</v>
      </c>
      <c r="F1713" s="65"/>
      <c r="G1713" s="65">
        <v>15</v>
      </c>
      <c r="H1713" s="127">
        <f>SUM(G1711:G1713)</f>
        <v>279.39999999999998</v>
      </c>
    </row>
    <row r="1714" spans="1:8" ht="15.75">
      <c r="F1714" s="42" t="s">
        <v>1708</v>
      </c>
      <c r="G1714" s="42"/>
      <c r="H1714" s="65">
        <f>SUM(H1713,H1710)</f>
        <v>313.14999999999998</v>
      </c>
    </row>
    <row r="1715" spans="1:8" ht="15.75">
      <c r="B1715" s="1" t="s">
        <v>1710</v>
      </c>
      <c r="F1715" s="42" t="s">
        <v>1689</v>
      </c>
      <c r="G1715" s="42"/>
      <c r="H1715" s="103">
        <f>FLOOR(H1714*0.15,0.01)</f>
        <v>46.97</v>
      </c>
    </row>
    <row r="1716" spans="1:8" ht="15.75">
      <c r="A1716"/>
      <c r="B1716" s="147">
        <f>+H1716</f>
        <v>360.12</v>
      </c>
      <c r="C1716" s="28" t="s">
        <v>3384</v>
      </c>
      <c r="D1716" s="103">
        <f>INT(B1716/B1717*100)/100</f>
        <v>360.12</v>
      </c>
      <c r="E1716" s="1" t="s">
        <v>3385</v>
      </c>
      <c r="F1716" s="42" t="s">
        <v>1711</v>
      </c>
      <c r="G1716" s="42"/>
      <c r="H1716" s="103">
        <f>SUM(H1714:H1715)</f>
        <v>360.12</v>
      </c>
    </row>
    <row r="1717" spans="1:8" ht="16.5">
      <c r="B1717" s="149">
        <v>1</v>
      </c>
    </row>
    <row r="1718" spans="1:8" ht="15.75">
      <c r="A1718" s="28"/>
      <c r="B1718" s="151"/>
      <c r="F1718" s="42"/>
      <c r="G1718" s="42"/>
      <c r="H1718" s="151"/>
    </row>
    <row r="1719" spans="1:8" ht="19.5">
      <c r="A1719" s="282">
        <f>A1706+1</f>
        <v>100</v>
      </c>
      <c r="B1719" s="1076" t="s">
        <v>1580</v>
      </c>
      <c r="C1719" s="1089"/>
      <c r="D1719" s="1089"/>
      <c r="E1719" s="1089"/>
      <c r="F1719" s="1089"/>
      <c r="G1719" s="1089"/>
      <c r="H1719" s="1089"/>
    </row>
    <row r="1720" spans="1:8" ht="15.75">
      <c r="A1720" s="688" t="s">
        <v>4401</v>
      </c>
      <c r="B1720" s="1100" t="s">
        <v>2620</v>
      </c>
      <c r="C1720" s="1083"/>
      <c r="D1720" s="1083"/>
      <c r="E1720" s="1083"/>
      <c r="F1720" s="1083"/>
      <c r="G1720" s="1083"/>
      <c r="H1720" s="1083"/>
    </row>
    <row r="1721" spans="1:8" ht="31.5">
      <c r="B1721" s="70" t="s">
        <v>3340</v>
      </c>
      <c r="C1721" s="70" t="s">
        <v>3341</v>
      </c>
      <c r="D1721" s="70" t="s">
        <v>3342</v>
      </c>
      <c r="E1721" s="70" t="s">
        <v>3343</v>
      </c>
      <c r="F1721" s="70" t="s">
        <v>3344</v>
      </c>
      <c r="G1721" s="70" t="s">
        <v>3345</v>
      </c>
      <c r="H1721" s="70" t="s">
        <v>1704</v>
      </c>
    </row>
    <row r="1722" spans="1:8" ht="17.25">
      <c r="B1722" s="1067" t="s">
        <v>1705</v>
      </c>
      <c r="C1722" s="60" t="s">
        <v>610</v>
      </c>
      <c r="D1722" s="43">
        <v>0.06</v>
      </c>
      <c r="E1722" s="57" t="s">
        <v>1707</v>
      </c>
      <c r="F1722" s="111">
        <f>'update Rate'!F5</f>
        <v>525</v>
      </c>
      <c r="G1722" s="111">
        <f>FLOOR(D1722*F1722,0.01)</f>
        <v>31.5</v>
      </c>
      <c r="H1722" s="112"/>
    </row>
    <row r="1723" spans="1:8" ht="17.25">
      <c r="B1723" s="1070"/>
      <c r="C1723" s="58" t="s">
        <v>1647</v>
      </c>
      <c r="D1723" s="51">
        <v>6.0000000000000001E-3</v>
      </c>
      <c r="E1723" s="58" t="s">
        <v>1707</v>
      </c>
      <c r="F1723" s="113">
        <f>'update Rate'!F4</f>
        <v>375</v>
      </c>
      <c r="G1723" s="65">
        <f>FLOOR(D1723*F1723,0.01)</f>
        <v>2.25</v>
      </c>
      <c r="H1723" s="125">
        <f>SUM(G1722+G1723)</f>
        <v>33.75</v>
      </c>
    </row>
    <row r="1724" spans="1:8" ht="18" customHeight="1">
      <c r="B1724" s="1069" t="s">
        <v>2330</v>
      </c>
      <c r="C1724" s="57" t="s">
        <v>924</v>
      </c>
      <c r="D1724" s="43">
        <v>1</v>
      </c>
      <c r="E1724" s="57" t="s">
        <v>3170</v>
      </c>
      <c r="F1724" s="114">
        <f>glass4</f>
        <v>516.48</v>
      </c>
      <c r="G1724" s="113">
        <f>FLOOR(D1724*F1724,0.01)</f>
        <v>516.48</v>
      </c>
      <c r="H1724" s="86"/>
    </row>
    <row r="1725" spans="1:8" ht="18" customHeight="1">
      <c r="B1725" s="1095"/>
      <c r="C1725" s="63" t="s">
        <v>1579</v>
      </c>
      <c r="D1725" s="44">
        <v>4.05</v>
      </c>
      <c r="E1725" s="56" t="s">
        <v>2938</v>
      </c>
      <c r="F1725" s="113">
        <f>'update Rate'!$F$133</f>
        <v>39.36</v>
      </c>
      <c r="G1725" s="113">
        <f>FLOOR(D1725*F1725,0.01)</f>
        <v>159.4</v>
      </c>
      <c r="H1725" s="9"/>
    </row>
    <row r="1726" spans="1:8" ht="15.75">
      <c r="B1726" s="1070"/>
      <c r="C1726" s="58" t="s">
        <v>2272</v>
      </c>
      <c r="D1726" s="58" t="s">
        <v>89</v>
      </c>
      <c r="E1726" s="58" t="s">
        <v>3173</v>
      </c>
      <c r="F1726" s="65"/>
      <c r="G1726" s="65">
        <v>15</v>
      </c>
      <c r="H1726" s="127">
        <f>SUM(G1724:G1726)</f>
        <v>690.88</v>
      </c>
    </row>
    <row r="1727" spans="1:8" ht="18" customHeight="1">
      <c r="F1727" s="42" t="s">
        <v>1708</v>
      </c>
      <c r="G1727" s="42"/>
      <c r="H1727" s="65">
        <f>SUM(H1723:H1726)</f>
        <v>724.63</v>
      </c>
    </row>
    <row r="1728" spans="1:8" ht="18" customHeight="1">
      <c r="B1728" s="1" t="s">
        <v>1710</v>
      </c>
      <c r="F1728" s="42" t="s">
        <v>1689</v>
      </c>
      <c r="G1728" s="42"/>
      <c r="H1728" s="103">
        <f>FLOOR(H1727*0.15,0.01)</f>
        <v>108.69</v>
      </c>
    </row>
    <row r="1729" spans="1:8" ht="18" customHeight="1">
      <c r="A1729" s="28" t="s">
        <v>3384</v>
      </c>
      <c r="B1729" s="103">
        <f>+H1729</f>
        <v>833.31999999999994</v>
      </c>
      <c r="C1729" s="1" t="s">
        <v>3385</v>
      </c>
      <c r="F1729" s="42" t="s">
        <v>1711</v>
      </c>
      <c r="G1729" s="42"/>
      <c r="H1729" s="103">
        <f>SUM(H1727:H1728)</f>
        <v>833.31999999999994</v>
      </c>
    </row>
    <row r="1730" spans="1:8" ht="18" customHeight="1">
      <c r="A1730" s="28"/>
      <c r="B1730" s="151"/>
      <c r="F1730" s="42"/>
      <c r="G1730" s="42"/>
      <c r="H1730" s="151"/>
    </row>
    <row r="1731" spans="1:8" ht="18" customHeight="1">
      <c r="A1731" s="28"/>
      <c r="B1731" s="151"/>
      <c r="F1731" s="42"/>
      <c r="G1731" s="42"/>
      <c r="H1731" s="151"/>
    </row>
    <row r="1732" spans="1:8" ht="18" customHeight="1">
      <c r="A1732" s="28"/>
      <c r="B1732" s="151"/>
      <c r="F1732" s="42"/>
      <c r="G1732" s="42"/>
      <c r="H1732" s="151"/>
    </row>
    <row r="1733" spans="1:8" ht="18" customHeight="1"/>
    <row r="1734" spans="1:8" ht="19.5">
      <c r="A1734" s="282">
        <f>+A1719+1</f>
        <v>101</v>
      </c>
      <c r="B1734" s="1076" t="s">
        <v>3407</v>
      </c>
      <c r="C1734" s="1089"/>
      <c r="D1734" s="1089"/>
      <c r="E1734" s="1089"/>
      <c r="F1734" s="1089"/>
      <c r="G1734" s="1089"/>
      <c r="H1734" s="1089"/>
    </row>
    <row r="1735" spans="1:8" ht="18" customHeight="1">
      <c r="A1735" s="688" t="s">
        <v>4401</v>
      </c>
      <c r="B1735" s="1100" t="s">
        <v>2620</v>
      </c>
      <c r="C1735" s="1083"/>
      <c r="D1735" s="1083"/>
      <c r="E1735" s="1083"/>
      <c r="F1735" s="1083"/>
      <c r="G1735" s="1083"/>
      <c r="H1735" s="1083"/>
    </row>
    <row r="1736" spans="1:8" ht="31.5">
      <c r="B1736" s="70" t="s">
        <v>3340</v>
      </c>
      <c r="C1736" s="70" t="s">
        <v>3341</v>
      </c>
      <c r="D1736" s="70" t="s">
        <v>3342</v>
      </c>
      <c r="E1736" s="70" t="s">
        <v>3343</v>
      </c>
      <c r="F1736" s="70" t="s">
        <v>3344</v>
      </c>
      <c r="G1736" s="70" t="s">
        <v>3345</v>
      </c>
      <c r="H1736" s="70" t="s">
        <v>1704</v>
      </c>
    </row>
    <row r="1737" spans="1:8" ht="17.25">
      <c r="B1737" s="1067" t="s">
        <v>1705</v>
      </c>
      <c r="C1737" s="60" t="s">
        <v>610</v>
      </c>
      <c r="D1737" s="43">
        <v>0.06</v>
      </c>
      <c r="E1737" s="57" t="s">
        <v>1707</v>
      </c>
      <c r="F1737" s="111">
        <f>'update Rate'!F5</f>
        <v>525</v>
      </c>
      <c r="G1737" s="111">
        <f>FLOOR(D1737*F1737,0.01)</f>
        <v>31.5</v>
      </c>
      <c r="H1737" s="112"/>
    </row>
    <row r="1738" spans="1:8" ht="17.25">
      <c r="B1738" s="1070"/>
      <c r="C1738" s="58" t="s">
        <v>1647</v>
      </c>
      <c r="D1738" s="51">
        <v>6.0000000000000001E-3</v>
      </c>
      <c r="E1738" s="58" t="s">
        <v>1707</v>
      </c>
      <c r="F1738" s="113">
        <f>'update Rate'!F4</f>
        <v>375</v>
      </c>
      <c r="G1738" s="65">
        <f>FLOOR(D1738*F1738,0.01)</f>
        <v>2.25</v>
      </c>
      <c r="H1738" s="125">
        <f>SUM(G1737+G1738)</f>
        <v>33.75</v>
      </c>
    </row>
    <row r="1739" spans="1:8" ht="17.25">
      <c r="B1739" s="1069" t="s">
        <v>2330</v>
      </c>
      <c r="C1739" s="55" t="s">
        <v>3408</v>
      </c>
      <c r="D1739" s="44">
        <v>1</v>
      </c>
      <c r="E1739" s="55" t="s">
        <v>3170</v>
      </c>
      <c r="F1739" s="114">
        <f>glass5</f>
        <v>699.4</v>
      </c>
      <c r="G1739" s="113">
        <f>FLOOR(D1739*F1739,0.01)</f>
        <v>699.4</v>
      </c>
      <c r="H1739" s="86"/>
    </row>
    <row r="1740" spans="1:8" ht="17.25">
      <c r="B1740" s="1095"/>
      <c r="C1740" s="63" t="s">
        <v>1579</v>
      </c>
      <c r="D1740" s="44">
        <v>4.05</v>
      </c>
      <c r="E1740" s="55" t="s">
        <v>3170</v>
      </c>
      <c r="F1740" s="113">
        <f>'update Rate'!$F$133</f>
        <v>39.36</v>
      </c>
      <c r="G1740" s="113">
        <f>FLOOR(D1740*F1740,0.01)</f>
        <v>159.4</v>
      </c>
      <c r="H1740" s="9"/>
    </row>
    <row r="1741" spans="1:8" ht="15.75">
      <c r="B1741" s="1070"/>
      <c r="C1741" s="58" t="s">
        <v>2272</v>
      </c>
      <c r="D1741" s="59" t="s">
        <v>3171</v>
      </c>
      <c r="E1741" s="58" t="s">
        <v>3173</v>
      </c>
      <c r="F1741" s="65"/>
      <c r="G1741" s="65">
        <v>15</v>
      </c>
      <c r="H1741" s="127">
        <f>SUM(G1739:G1741)</f>
        <v>873.8</v>
      </c>
    </row>
    <row r="1742" spans="1:8" ht="20.100000000000001" customHeight="1">
      <c r="F1742" s="42" t="s">
        <v>1708</v>
      </c>
      <c r="G1742" s="42"/>
      <c r="H1742" s="65">
        <f>SUM(H1738:H1741)</f>
        <v>907.55</v>
      </c>
    </row>
    <row r="1743" spans="1:8" ht="20.100000000000001" customHeight="1">
      <c r="B1743" s="1" t="s">
        <v>1710</v>
      </c>
      <c r="F1743" s="42" t="s">
        <v>1689</v>
      </c>
      <c r="G1743" s="42"/>
      <c r="H1743" s="103">
        <f>FLOOR(H1742*0.15,0.01)</f>
        <v>136.13</v>
      </c>
    </row>
    <row r="1744" spans="1:8" ht="20.100000000000001" customHeight="1">
      <c r="A1744" s="28" t="s">
        <v>3384</v>
      </c>
      <c r="B1744" s="103">
        <f>+H1744</f>
        <v>1043.6799999999998</v>
      </c>
      <c r="C1744" s="1" t="s">
        <v>3385</v>
      </c>
      <c r="F1744" s="42" t="s">
        <v>1711</v>
      </c>
      <c r="G1744" s="42"/>
      <c r="H1744" s="103">
        <f>SUM(H1742:H1743)</f>
        <v>1043.6799999999998</v>
      </c>
    </row>
    <row r="1745" spans="1:8" ht="20.100000000000001" customHeight="1">
      <c r="A1745" s="28"/>
      <c r="B1745" s="151"/>
      <c r="F1745" s="42"/>
      <c r="G1745" s="42"/>
      <c r="H1745" s="151"/>
    </row>
    <row r="1746" spans="1:8" ht="20.100000000000001" customHeight="1">
      <c r="A1746" s="28"/>
      <c r="B1746" s="151"/>
      <c r="F1746" s="42"/>
      <c r="G1746" s="42"/>
      <c r="H1746" s="151"/>
    </row>
    <row r="1747" spans="1:8" ht="20.100000000000001" customHeight="1">
      <c r="A1747" s="28"/>
      <c r="B1747" s="151"/>
      <c r="F1747" s="42"/>
      <c r="G1747" s="42"/>
      <c r="H1747" s="151"/>
    </row>
    <row r="1749" spans="1:8" ht="19.5">
      <c r="A1749" s="282">
        <f>A1734+1</f>
        <v>102</v>
      </c>
      <c r="B1749" s="1076" t="s">
        <v>988</v>
      </c>
      <c r="C1749" s="1089"/>
      <c r="D1749" s="1089"/>
      <c r="E1749" s="1089"/>
      <c r="F1749" s="1089"/>
      <c r="G1749" s="1089"/>
      <c r="H1749" s="1089"/>
    </row>
    <row r="1750" spans="1:8">
      <c r="A1750" s="15" t="s">
        <v>3078</v>
      </c>
      <c r="B1750" s="1100" t="s">
        <v>2620</v>
      </c>
      <c r="C1750" s="1083"/>
      <c r="D1750" s="1083"/>
      <c r="E1750" s="1083"/>
      <c r="F1750" s="1083"/>
      <c r="G1750" s="1083"/>
      <c r="H1750" s="1083"/>
    </row>
    <row r="1751" spans="1:8" ht="31.5">
      <c r="B1751" s="70" t="s">
        <v>3340</v>
      </c>
      <c r="C1751" s="70" t="s">
        <v>3341</v>
      </c>
      <c r="D1751" s="70" t="s">
        <v>3342</v>
      </c>
      <c r="E1751" s="70" t="s">
        <v>3343</v>
      </c>
      <c r="F1751" s="70" t="s">
        <v>3344</v>
      </c>
      <c r="G1751" s="70" t="s">
        <v>3345</v>
      </c>
      <c r="H1751" s="70" t="s">
        <v>1704</v>
      </c>
    </row>
    <row r="1752" spans="1:8" ht="17.25">
      <c r="B1752" s="1067" t="s">
        <v>1705</v>
      </c>
      <c r="C1752" s="60" t="s">
        <v>610</v>
      </c>
      <c r="D1752" s="43">
        <v>0.06</v>
      </c>
      <c r="E1752" s="57" t="s">
        <v>1707</v>
      </c>
      <c r="F1752" s="111">
        <f>'update Rate'!F5</f>
        <v>525</v>
      </c>
      <c r="G1752" s="111">
        <f>FLOOR(D1752*F1752,0.01)</f>
        <v>31.5</v>
      </c>
      <c r="H1752" s="112"/>
    </row>
    <row r="1753" spans="1:8" ht="18" customHeight="1">
      <c r="B1753" s="1070"/>
      <c r="C1753" s="58" t="s">
        <v>1647</v>
      </c>
      <c r="D1753" s="51">
        <v>6.0000000000000001E-3</v>
      </c>
      <c r="E1753" s="58" t="s">
        <v>1707</v>
      </c>
      <c r="F1753" s="113">
        <f>'update Rate'!F4</f>
        <v>375</v>
      </c>
      <c r="G1753" s="65">
        <f>FLOOR(D1753*F1753,0.01)</f>
        <v>2.25</v>
      </c>
      <c r="H1753" s="125">
        <f>SUM(G1752+G1753)</f>
        <v>33.75</v>
      </c>
    </row>
    <row r="1754" spans="1:8" ht="18" customHeight="1">
      <c r="B1754" s="1069" t="s">
        <v>2330</v>
      </c>
      <c r="C1754" s="57" t="s">
        <v>989</v>
      </c>
      <c r="D1754" s="43">
        <v>1.05</v>
      </c>
      <c r="E1754" s="57" t="s">
        <v>3170</v>
      </c>
      <c r="F1754" s="114">
        <f>+'update Rate'!F69</f>
        <v>193.68</v>
      </c>
      <c r="G1754" s="113">
        <f>FLOOR(D1754*F1754,0.01)</f>
        <v>203.36</v>
      </c>
      <c r="H1754" s="86"/>
    </row>
    <row r="1755" spans="1:8" ht="18" customHeight="1">
      <c r="B1755" s="1095"/>
      <c r="C1755" s="63" t="s">
        <v>1579</v>
      </c>
      <c r="D1755" s="44">
        <v>4.05</v>
      </c>
      <c r="E1755" s="55" t="s">
        <v>2938</v>
      </c>
      <c r="F1755" s="113">
        <f>'update Rate'!$F$133</f>
        <v>39.36</v>
      </c>
      <c r="G1755" s="113">
        <f>FLOOR(D1755*F1755,0.01)</f>
        <v>159.4</v>
      </c>
      <c r="H1755" s="9"/>
    </row>
    <row r="1756" spans="1:8" ht="18" customHeight="1">
      <c r="B1756" s="1070"/>
      <c r="C1756" s="58" t="s">
        <v>2272</v>
      </c>
      <c r="D1756" s="61" t="s">
        <v>3171</v>
      </c>
      <c r="E1756" s="58" t="s">
        <v>3173</v>
      </c>
      <c r="F1756" s="65"/>
      <c r="G1756" s="65">
        <v>15</v>
      </c>
      <c r="H1756" s="127">
        <f>SUM(G1754:G1756)</f>
        <v>377.76</v>
      </c>
    </row>
    <row r="1757" spans="1:8" ht="18" customHeight="1">
      <c r="F1757" s="42" t="s">
        <v>1708</v>
      </c>
      <c r="G1757" s="42"/>
      <c r="H1757" s="65">
        <f>SUM(H1753:H1756)</f>
        <v>411.51</v>
      </c>
    </row>
    <row r="1758" spans="1:8" ht="18" customHeight="1">
      <c r="B1758" s="1" t="s">
        <v>1710</v>
      </c>
      <c r="F1758" s="42" t="s">
        <v>1689</v>
      </c>
      <c r="G1758" s="42"/>
      <c r="H1758" s="103">
        <f>FLOOR(H1757*0.15,0.01)</f>
        <v>61.72</v>
      </c>
    </row>
    <row r="1759" spans="1:8" ht="18" customHeight="1">
      <c r="A1759" s="28" t="s">
        <v>3384</v>
      </c>
      <c r="B1759" s="103">
        <f>+H1759</f>
        <v>473.23</v>
      </c>
      <c r="C1759" s="1" t="s">
        <v>3385</v>
      </c>
      <c r="F1759" s="42" t="s">
        <v>1711</v>
      </c>
      <c r="G1759" s="42"/>
      <c r="H1759" s="103">
        <f>SUM(H1757:H1758)</f>
        <v>473.23</v>
      </c>
    </row>
    <row r="1761" spans="1:8" ht="19.5">
      <c r="A1761" s="282">
        <f>A1749+1</f>
        <v>103</v>
      </c>
      <c r="B1761" s="1089" t="s">
        <v>4320</v>
      </c>
      <c r="C1761" s="1089"/>
      <c r="D1761" s="1089"/>
      <c r="E1761" s="1089"/>
      <c r="F1761" s="1089"/>
      <c r="G1761" s="1089"/>
      <c r="H1761" s="1089"/>
    </row>
    <row r="1762" spans="1:8" ht="18" customHeight="1">
      <c r="A1762" s="688"/>
      <c r="B1762" s="1092" t="s">
        <v>2898</v>
      </c>
      <c r="C1762" s="1092"/>
      <c r="D1762" s="1092"/>
      <c r="E1762" s="1092"/>
      <c r="F1762" s="1092"/>
      <c r="G1762" s="1092"/>
      <c r="H1762" s="1092"/>
    </row>
    <row r="1763" spans="1:8" ht="31.5">
      <c r="B1763" s="70" t="s">
        <v>3340</v>
      </c>
      <c r="C1763" s="70" t="s">
        <v>3341</v>
      </c>
      <c r="D1763" s="70" t="s">
        <v>3342</v>
      </c>
      <c r="E1763" s="70" t="s">
        <v>3343</v>
      </c>
      <c r="F1763" s="70" t="s">
        <v>3344</v>
      </c>
      <c r="G1763" s="70" t="s">
        <v>3345</v>
      </c>
      <c r="H1763" s="70" t="s">
        <v>1704</v>
      </c>
    </row>
    <row r="1764" spans="1:8" ht="17.25">
      <c r="B1764" s="60" t="s">
        <v>1705</v>
      </c>
      <c r="C1764" s="60" t="s">
        <v>2899</v>
      </c>
      <c r="D1764" s="43">
        <v>0.06</v>
      </c>
      <c r="E1764" s="57" t="s">
        <v>1707</v>
      </c>
      <c r="F1764" s="111">
        <f>mason</f>
        <v>525</v>
      </c>
      <c r="G1764" s="111">
        <f>FLOOR(D1764*F1764,0.01)</f>
        <v>31.5</v>
      </c>
      <c r="H1764" s="111"/>
    </row>
    <row r="1765" spans="1:8" ht="17.25">
      <c r="B1765" s="64"/>
      <c r="C1765" s="55" t="s">
        <v>2176</v>
      </c>
      <c r="D1765" s="54">
        <v>6.0000000000000001E-3</v>
      </c>
      <c r="E1765" s="55" t="s">
        <v>1707</v>
      </c>
      <c r="F1765" s="65">
        <f>'update Rate'!E4</f>
        <v>375</v>
      </c>
      <c r="G1765" s="126">
        <f>FLOOR(D1765*F1765,0.01)</f>
        <v>2.25</v>
      </c>
      <c r="H1765" s="126">
        <f>SUM(G1764:G1765)</f>
        <v>33.75</v>
      </c>
    </row>
    <row r="1766" spans="1:8" ht="31.5">
      <c r="B1766" s="1107" t="s">
        <v>2330</v>
      </c>
      <c r="C1766" s="213" t="s">
        <v>4321</v>
      </c>
      <c r="D1766" s="43">
        <v>1.05</v>
      </c>
      <c r="E1766" s="57" t="s">
        <v>3170</v>
      </c>
      <c r="F1766" s="167">
        <f>'update Rate'!F83</f>
        <v>902.65</v>
      </c>
      <c r="G1766" s="167">
        <f>FLOOR(D1766*F1766,0.01)</f>
        <v>947.78</v>
      </c>
      <c r="H1766" s="214"/>
    </row>
    <row r="1767" spans="1:8" ht="19.5" customHeight="1">
      <c r="B1767" s="1159"/>
      <c r="C1767" s="62" t="s">
        <v>1335</v>
      </c>
      <c r="D1767" s="44">
        <v>4.05</v>
      </c>
      <c r="E1767" s="56" t="s">
        <v>2938</v>
      </c>
      <c r="F1767" s="168">
        <f>'update Rate'!F133</f>
        <v>39.36</v>
      </c>
      <c r="G1767" s="168">
        <f>FLOOR(D1767*F1767,0.01)</f>
        <v>159.4</v>
      </c>
      <c r="H1767" s="214"/>
    </row>
    <row r="1768" spans="1:8" ht="16.5">
      <c r="B1768" s="1109"/>
      <c r="C1768" s="215" t="s">
        <v>1827</v>
      </c>
      <c r="D1768" s="45" t="s">
        <v>436</v>
      </c>
      <c r="E1768" s="216" t="s">
        <v>3171</v>
      </c>
      <c r="F1768" s="45" t="s">
        <v>436</v>
      </c>
      <c r="G1768" s="170">
        <v>30</v>
      </c>
      <c r="H1768" s="65">
        <f>SUM(G1766:G1768)</f>
        <v>1137.18</v>
      </c>
    </row>
    <row r="1769" spans="1:8" ht="19.5" customHeight="1">
      <c r="F1769" s="42" t="s">
        <v>1708</v>
      </c>
      <c r="G1769" s="42"/>
      <c r="H1769" s="103">
        <f>SUM(H1765:H1768)</f>
        <v>1170.93</v>
      </c>
    </row>
    <row r="1770" spans="1:8" ht="16.5" customHeight="1">
      <c r="B1770" s="33" t="s">
        <v>1710</v>
      </c>
      <c r="F1770" s="42" t="s">
        <v>1689</v>
      </c>
      <c r="G1770" s="42"/>
      <c r="H1770" s="103">
        <f>FLOOR(H1769*0.15,0.01)</f>
        <v>175.63</v>
      </c>
    </row>
    <row r="1771" spans="1:8" ht="21" customHeight="1">
      <c r="A1771" s="28" t="s">
        <v>3384</v>
      </c>
      <c r="B1771" s="103">
        <f>+H1771</f>
        <v>1346.56</v>
      </c>
      <c r="C1771" s="1" t="s">
        <v>3385</v>
      </c>
      <c r="D1771" s="209"/>
      <c r="F1771" s="42" t="s">
        <v>1711</v>
      </c>
      <c r="G1771" s="42"/>
      <c r="H1771" s="103">
        <f>SUM(H1769:H1770)</f>
        <v>1346.56</v>
      </c>
    </row>
    <row r="1772" spans="1:8" ht="16.5">
      <c r="B1772" s="149"/>
    </row>
    <row r="1773" spans="1:8" ht="16.5">
      <c r="B1773" s="149"/>
    </row>
    <row r="1774" spans="1:8" ht="16.5">
      <c r="B1774" s="149"/>
    </row>
    <row r="1775" spans="1:8" ht="19.5">
      <c r="A1775" s="282">
        <f>A1761+1</f>
        <v>104</v>
      </c>
      <c r="B1775" s="1089" t="s">
        <v>2896</v>
      </c>
      <c r="C1775" s="1089"/>
      <c r="D1775" s="1089"/>
      <c r="E1775" s="1089"/>
      <c r="F1775" s="1089"/>
      <c r="G1775" s="1089"/>
      <c r="H1775" s="1089"/>
    </row>
    <row r="1776" spans="1:8" ht="19.5">
      <c r="A1776" s="15"/>
      <c r="B1776" s="1089" t="s">
        <v>2897</v>
      </c>
      <c r="C1776" s="1089"/>
      <c r="D1776" s="1089"/>
      <c r="E1776" s="1089"/>
      <c r="F1776" s="1089"/>
      <c r="G1776" s="1089"/>
      <c r="H1776" s="1089"/>
    </row>
    <row r="1777" spans="1:8" ht="15" customHeight="1">
      <c r="A1777" s="212"/>
      <c r="B1777" s="1092" t="s">
        <v>2898</v>
      </c>
      <c r="C1777" s="1092"/>
      <c r="D1777" s="1092"/>
      <c r="E1777" s="1092"/>
      <c r="F1777" s="1092"/>
      <c r="G1777" s="1092"/>
      <c r="H1777" s="1092"/>
    </row>
    <row r="1778" spans="1:8" ht="31.5">
      <c r="B1778" s="70" t="s">
        <v>3340</v>
      </c>
      <c r="C1778" s="70" t="s">
        <v>3341</v>
      </c>
      <c r="D1778" s="70" t="s">
        <v>3342</v>
      </c>
      <c r="E1778" s="70" t="s">
        <v>3343</v>
      </c>
      <c r="F1778" s="70" t="s">
        <v>3344</v>
      </c>
      <c r="G1778" s="70" t="s">
        <v>3345</v>
      </c>
      <c r="H1778" s="70" t="s">
        <v>1704</v>
      </c>
    </row>
    <row r="1779" spans="1:8" ht="15" customHeight="1">
      <c r="B1779" s="60" t="s">
        <v>1705</v>
      </c>
      <c r="C1779" s="60" t="s">
        <v>2899</v>
      </c>
      <c r="D1779" s="43">
        <v>0.06</v>
      </c>
      <c r="E1779" s="57" t="s">
        <v>1707</v>
      </c>
      <c r="F1779" s="111">
        <f>mason</f>
        <v>525</v>
      </c>
      <c r="G1779" s="111">
        <f>FLOOR(D1779*F1779,0.01)</f>
        <v>31.5</v>
      </c>
      <c r="H1779" s="111"/>
    </row>
    <row r="1780" spans="1:8" ht="15" customHeight="1">
      <c r="B1780" s="64"/>
      <c r="C1780" s="55" t="s">
        <v>2176</v>
      </c>
      <c r="D1780" s="54">
        <v>6.0000000000000001E-3</v>
      </c>
      <c r="E1780" s="55" t="s">
        <v>1707</v>
      </c>
      <c r="F1780" s="65">
        <f>'update Rate'!E4</f>
        <v>375</v>
      </c>
      <c r="G1780" s="126">
        <f>FLOOR(D1780*F1780,0.01)</f>
        <v>2.25</v>
      </c>
      <c r="H1780" s="126">
        <f>SUM(G1779:G1780)</f>
        <v>33.75</v>
      </c>
    </row>
    <row r="1781" spans="1:8" ht="17.25">
      <c r="B1781" s="1107" t="s">
        <v>2330</v>
      </c>
      <c r="C1781" s="213" t="s">
        <v>437</v>
      </c>
      <c r="D1781" s="43">
        <v>1.05</v>
      </c>
      <c r="E1781" s="57" t="s">
        <v>3170</v>
      </c>
      <c r="F1781" s="167">
        <f>Tikply4</f>
        <v>624.08000000000004</v>
      </c>
      <c r="G1781" s="167">
        <f>FLOOR(D1781*F1781,0.01)</f>
        <v>655.28</v>
      </c>
      <c r="H1781" s="214"/>
    </row>
    <row r="1782" spans="1:8" ht="16.5">
      <c r="B1782" s="1159"/>
      <c r="C1782" s="62" t="s">
        <v>435</v>
      </c>
      <c r="D1782" s="44" t="s">
        <v>436</v>
      </c>
      <c r="E1782" s="63" t="s">
        <v>3171</v>
      </c>
      <c r="F1782" s="44" t="s">
        <v>436</v>
      </c>
      <c r="G1782" s="168">
        <v>65</v>
      </c>
      <c r="H1782" s="214"/>
    </row>
    <row r="1783" spans="1:8" ht="16.5">
      <c r="B1783" s="1109"/>
      <c r="C1783" s="215" t="s">
        <v>2272</v>
      </c>
      <c r="D1783" s="45" t="s">
        <v>436</v>
      </c>
      <c r="E1783" s="216" t="s">
        <v>3171</v>
      </c>
      <c r="F1783" s="45" t="s">
        <v>436</v>
      </c>
      <c r="G1783" s="170">
        <v>15</v>
      </c>
      <c r="H1783" s="65">
        <f>SUM(G1781:G1783)</f>
        <v>735.28</v>
      </c>
    </row>
    <row r="1784" spans="1:8" ht="17.25" customHeight="1">
      <c r="F1784" s="42" t="s">
        <v>1708</v>
      </c>
      <c r="G1784" s="42"/>
      <c r="H1784" s="103">
        <f>SUM(H1783,H1780)</f>
        <v>769.03</v>
      </c>
    </row>
    <row r="1785" spans="1:8" ht="19.5" customHeight="1">
      <c r="B1785" s="33" t="s">
        <v>1710</v>
      </c>
      <c r="F1785" s="42" t="s">
        <v>1689</v>
      </c>
      <c r="G1785" s="42"/>
      <c r="H1785" s="103">
        <f>FLOOR(H1784*0.15,0.01)</f>
        <v>115.35000000000001</v>
      </c>
    </row>
    <row r="1786" spans="1:8" ht="17.25">
      <c r="A1786" s="28" t="s">
        <v>3384</v>
      </c>
      <c r="B1786" s="103">
        <f>+H1786</f>
        <v>884.38</v>
      </c>
      <c r="C1786" s="1" t="s">
        <v>3385</v>
      </c>
      <c r="D1786" s="209"/>
      <c r="F1786" s="42" t="s">
        <v>1711</v>
      </c>
      <c r="G1786" s="42"/>
      <c r="H1786" s="103">
        <f>SUM(H1784:H1785)</f>
        <v>884.38</v>
      </c>
    </row>
    <row r="1787" spans="1:8" ht="16.5">
      <c r="B1787" s="149"/>
    </row>
    <row r="1788" spans="1:8" ht="16.5">
      <c r="B1788" s="149"/>
    </row>
    <row r="1789" spans="1:8" ht="16.5">
      <c r="B1789" s="149"/>
    </row>
    <row r="1790" spans="1:8" ht="19.5">
      <c r="B1790" s="1089" t="s">
        <v>2740</v>
      </c>
      <c r="C1790" s="1089"/>
      <c r="D1790" s="1089"/>
      <c r="E1790" s="1089"/>
      <c r="F1790" s="1089"/>
      <c r="G1790" s="1089"/>
      <c r="H1790" s="1089"/>
    </row>
    <row r="1791" spans="1:8" ht="19.5">
      <c r="A1791" s="282">
        <f>A1775+1</f>
        <v>105</v>
      </c>
      <c r="B1791" s="1076" t="s">
        <v>3335</v>
      </c>
      <c r="C1791" s="1089"/>
      <c r="D1791" s="1089"/>
      <c r="E1791" s="1089"/>
      <c r="F1791" s="1089"/>
      <c r="G1791" s="1089"/>
      <c r="H1791" s="1089"/>
    </row>
    <row r="1792" spans="1:8" ht="15.75">
      <c r="A1792" s="688" t="s">
        <v>4402</v>
      </c>
      <c r="B1792" s="1100" t="s">
        <v>126</v>
      </c>
      <c r="C1792" s="1083"/>
      <c r="D1792" s="1083"/>
      <c r="E1792" s="1083"/>
      <c r="F1792" s="1083"/>
      <c r="G1792" s="1083"/>
      <c r="H1792" s="1083"/>
    </row>
    <row r="1793" spans="1:8" ht="31.5">
      <c r="B1793" s="70" t="s">
        <v>3340</v>
      </c>
      <c r="C1793" s="70" t="s">
        <v>3341</v>
      </c>
      <c r="D1793" s="70" t="s">
        <v>3342</v>
      </c>
      <c r="E1793" s="70" t="s">
        <v>3343</v>
      </c>
      <c r="F1793" s="70" t="s">
        <v>3344</v>
      </c>
      <c r="G1793" s="70" t="s">
        <v>3345</v>
      </c>
      <c r="H1793" s="70" t="s">
        <v>1704</v>
      </c>
    </row>
    <row r="1794" spans="1:8" ht="17.25">
      <c r="B1794" s="1067" t="s">
        <v>1705</v>
      </c>
      <c r="C1794" s="60" t="s">
        <v>610</v>
      </c>
      <c r="D1794" s="43">
        <v>23</v>
      </c>
      <c r="E1794" s="57" t="s">
        <v>1707</v>
      </c>
      <c r="F1794" s="111">
        <f>'update Rate'!F5</f>
        <v>525</v>
      </c>
      <c r="G1794" s="111">
        <f t="shared" ref="G1794:G1799" si="56">FLOOR(D1794*F1794,0.01)</f>
        <v>12075</v>
      </c>
      <c r="H1794" s="112"/>
    </row>
    <row r="1795" spans="1:8" ht="17.25">
      <c r="B1795" s="1070"/>
      <c r="C1795" s="58" t="s">
        <v>1647</v>
      </c>
      <c r="D1795" s="45">
        <v>2.2999999999999998</v>
      </c>
      <c r="E1795" s="58" t="s">
        <v>1707</v>
      </c>
      <c r="F1795" s="113">
        <f>'update Rate'!F4</f>
        <v>375</v>
      </c>
      <c r="G1795" s="65">
        <f t="shared" si="56"/>
        <v>862.5</v>
      </c>
      <c r="H1795" s="125">
        <f>SUM(G1794+G1795)</f>
        <v>12937.5</v>
      </c>
    </row>
    <row r="1796" spans="1:8" ht="17.25">
      <c r="B1796" s="1069" t="s">
        <v>2330</v>
      </c>
      <c r="C1796" s="55" t="s">
        <v>2178</v>
      </c>
      <c r="D1796" s="44">
        <v>0.45</v>
      </c>
      <c r="E1796" s="55" t="s">
        <v>2530</v>
      </c>
      <c r="F1796" s="114">
        <f>awood</f>
        <v>120054</v>
      </c>
      <c r="G1796" s="113">
        <f t="shared" si="56"/>
        <v>54024.3</v>
      </c>
      <c r="H1796" s="86"/>
    </row>
    <row r="1797" spans="1:8" ht="17.25">
      <c r="B1797" s="1095"/>
      <c r="C1797" s="55" t="s">
        <v>989</v>
      </c>
      <c r="D1797" s="44">
        <v>37.5</v>
      </c>
      <c r="E1797" s="55" t="s">
        <v>3170</v>
      </c>
      <c r="F1797" s="113">
        <f>'update Rate'!F69</f>
        <v>193.68</v>
      </c>
      <c r="G1797" s="113">
        <f t="shared" si="56"/>
        <v>7263</v>
      </c>
      <c r="H1797" s="9"/>
    </row>
    <row r="1798" spans="1:8" ht="17.25">
      <c r="B1798" s="1095"/>
      <c r="C1798" s="55" t="s">
        <v>1222</v>
      </c>
      <c r="D1798" s="259">
        <v>100</v>
      </c>
      <c r="E1798" s="55" t="s">
        <v>655</v>
      </c>
      <c r="F1798" s="113">
        <f>'update Rate'!$F$133</f>
        <v>39.36</v>
      </c>
      <c r="G1798" s="113">
        <f t="shared" si="56"/>
        <v>3936</v>
      </c>
      <c r="H1798" s="88"/>
    </row>
    <row r="1799" spans="1:8" ht="17.25">
      <c r="B1799" s="1070"/>
      <c r="C1799" s="58" t="s">
        <v>2272</v>
      </c>
      <c r="D1799" s="45">
        <v>0.5</v>
      </c>
      <c r="E1799" s="58" t="s">
        <v>654</v>
      </c>
      <c r="F1799" s="65">
        <f>'update Rate'!$F$58</f>
        <v>99</v>
      </c>
      <c r="G1799" s="65">
        <f t="shared" si="56"/>
        <v>49.5</v>
      </c>
      <c r="H1799" s="127">
        <f>SUM(G1796:G1799)</f>
        <v>65272.800000000003</v>
      </c>
    </row>
    <row r="1800" spans="1:8" ht="15.75">
      <c r="F1800" s="42" t="s">
        <v>1708</v>
      </c>
      <c r="G1800" s="42"/>
      <c r="H1800" s="65">
        <f>SUM(H1795:H1799)</f>
        <v>78210.3</v>
      </c>
    </row>
    <row r="1801" spans="1:8" ht="15.75">
      <c r="B1801" s="1" t="s">
        <v>1710</v>
      </c>
      <c r="F1801" s="42" t="s">
        <v>1689</v>
      </c>
      <c r="G1801" s="42"/>
      <c r="H1801" s="103">
        <f>FLOOR(H1800*0.15,0.01)</f>
        <v>11731.54</v>
      </c>
    </row>
    <row r="1802" spans="1:8" ht="15.75">
      <c r="A1802"/>
      <c r="B1802" s="147">
        <f>+H1802</f>
        <v>89941.84</v>
      </c>
      <c r="C1802" s="28" t="s">
        <v>3384</v>
      </c>
      <c r="D1802" s="103">
        <f>INT(B1802/B1803*100)/100</f>
        <v>2527.87</v>
      </c>
      <c r="E1802" s="1" t="s">
        <v>3385</v>
      </c>
      <c r="F1802" s="42" t="s">
        <v>1711</v>
      </c>
      <c r="G1802" s="42"/>
      <c r="H1802" s="103">
        <f>SUM(H1800:H1801)</f>
        <v>89941.84</v>
      </c>
    </row>
    <row r="1803" spans="1:8" ht="16.5">
      <c r="B1803" s="149">
        <v>35.58</v>
      </c>
    </row>
    <row r="1804" spans="1:8" ht="16.5">
      <c r="B1804" s="149"/>
    </row>
    <row r="1805" spans="1:8" ht="19.5">
      <c r="A1805" s="1089" t="s">
        <v>2740</v>
      </c>
      <c r="B1805" s="1089"/>
      <c r="C1805" s="1089"/>
      <c r="D1805" s="1089"/>
      <c r="E1805" s="1089"/>
      <c r="F1805" s="1089"/>
      <c r="G1805" s="1089"/>
      <c r="H1805" s="1089"/>
    </row>
    <row r="1806" spans="1:8" ht="18" customHeight="1">
      <c r="A1806" s="282">
        <f>A1791+1</f>
        <v>106</v>
      </c>
      <c r="B1806" s="1076" t="s">
        <v>2734</v>
      </c>
      <c r="C1806" s="1089"/>
      <c r="D1806" s="1089"/>
      <c r="E1806" s="1089"/>
      <c r="F1806" s="1089"/>
      <c r="G1806" s="1089"/>
      <c r="H1806" s="1089"/>
    </row>
    <row r="1807" spans="1:8" ht="18" customHeight="1">
      <c r="A1807" s="688" t="s">
        <v>4402</v>
      </c>
      <c r="B1807" s="1076" t="s">
        <v>3312</v>
      </c>
      <c r="C1807" s="1089"/>
      <c r="D1807" s="1089"/>
      <c r="E1807" s="1089"/>
      <c r="F1807" s="1089"/>
      <c r="G1807" s="1089"/>
      <c r="H1807" s="1089"/>
    </row>
    <row r="1808" spans="1:8" ht="18" customHeight="1">
      <c r="B1808" s="1117" t="s">
        <v>3485</v>
      </c>
      <c r="C1808" s="1117"/>
      <c r="D1808" s="1117"/>
      <c r="E1808" s="1117"/>
      <c r="F1808" s="1117"/>
      <c r="G1808" s="1117"/>
      <c r="H1808" s="1117"/>
    </row>
    <row r="1809" spans="1:8" ht="31.5">
      <c r="B1809" s="70" t="s">
        <v>3340</v>
      </c>
      <c r="C1809" s="70" t="s">
        <v>3341</v>
      </c>
      <c r="D1809" s="70" t="s">
        <v>3342</v>
      </c>
      <c r="E1809" s="70" t="s">
        <v>3343</v>
      </c>
      <c r="F1809" s="70" t="s">
        <v>3344</v>
      </c>
      <c r="G1809" s="70" t="s">
        <v>3345</v>
      </c>
      <c r="H1809" s="70" t="s">
        <v>1704</v>
      </c>
    </row>
    <row r="1810" spans="1:8" ht="18" customHeight="1">
      <c r="B1810" s="1067" t="s">
        <v>1705</v>
      </c>
      <c r="C1810" s="60" t="s">
        <v>610</v>
      </c>
      <c r="D1810" s="43">
        <v>23</v>
      </c>
      <c r="E1810" s="57" t="s">
        <v>1707</v>
      </c>
      <c r="F1810" s="111">
        <f>'update Rate'!F5</f>
        <v>525</v>
      </c>
      <c r="G1810" s="111">
        <f t="shared" ref="G1810:G1815" si="57">FLOOR(D1810*F1810,0.01)</f>
        <v>12075</v>
      </c>
      <c r="H1810" s="112"/>
    </row>
    <row r="1811" spans="1:8" ht="17.25">
      <c r="B1811" s="1070"/>
      <c r="C1811" s="58" t="s">
        <v>1647</v>
      </c>
      <c r="D1811" s="45">
        <v>2.2999999999999998</v>
      </c>
      <c r="E1811" s="58" t="s">
        <v>1707</v>
      </c>
      <c r="F1811" s="113">
        <f>'update Rate'!F4</f>
        <v>375</v>
      </c>
      <c r="G1811" s="65">
        <f t="shared" si="57"/>
        <v>862.5</v>
      </c>
      <c r="H1811" s="125">
        <f>SUM(G1810+G1811)</f>
        <v>12937.5</v>
      </c>
    </row>
    <row r="1812" spans="1:8" ht="18" customHeight="1">
      <c r="B1812" s="1069" t="s">
        <v>2330</v>
      </c>
      <c r="C1812" s="55" t="s">
        <v>2178</v>
      </c>
      <c r="D1812" s="44">
        <v>0.45</v>
      </c>
      <c r="E1812" s="55" t="s">
        <v>2530</v>
      </c>
      <c r="F1812" s="114">
        <f>awood</f>
        <v>120054</v>
      </c>
      <c r="G1812" s="113">
        <f t="shared" si="57"/>
        <v>54024.3</v>
      </c>
      <c r="H1812" s="86"/>
    </row>
    <row r="1813" spans="1:8" ht="18" customHeight="1">
      <c r="B1813" s="1095"/>
      <c r="C1813" s="55" t="s">
        <v>2181</v>
      </c>
      <c r="D1813" s="44">
        <v>37.5</v>
      </c>
      <c r="E1813" s="55" t="s">
        <v>3170</v>
      </c>
      <c r="F1813" s="113">
        <f>plywood6</f>
        <v>317.42</v>
      </c>
      <c r="G1813" s="113">
        <f t="shared" si="57"/>
        <v>11903.25</v>
      </c>
      <c r="H1813" s="9"/>
    </row>
    <row r="1814" spans="1:8" ht="17.25">
      <c r="B1814" s="1095"/>
      <c r="C1814" s="55" t="s">
        <v>1222</v>
      </c>
      <c r="D1814" s="259">
        <v>100</v>
      </c>
      <c r="E1814" s="55" t="s">
        <v>655</v>
      </c>
      <c r="F1814" s="113">
        <f>'update Rate'!$F$133</f>
        <v>39.36</v>
      </c>
      <c r="G1814" s="113">
        <f t="shared" si="57"/>
        <v>3936</v>
      </c>
      <c r="H1814" s="88"/>
    </row>
    <row r="1815" spans="1:8" ht="17.25">
      <c r="B1815" s="1070"/>
      <c r="C1815" s="58" t="s">
        <v>2272</v>
      </c>
      <c r="D1815" s="45">
        <v>0.5</v>
      </c>
      <c r="E1815" s="58" t="s">
        <v>654</v>
      </c>
      <c r="F1815" s="65">
        <f>'update Rate'!$F$58</f>
        <v>99</v>
      </c>
      <c r="G1815" s="65">
        <f t="shared" si="57"/>
        <v>49.5</v>
      </c>
      <c r="H1815" s="127">
        <f>SUM(G1812:G1815)</f>
        <v>69913.05</v>
      </c>
    </row>
    <row r="1816" spans="1:8" ht="15.75">
      <c r="F1816" s="42" t="s">
        <v>1708</v>
      </c>
      <c r="G1816" s="42"/>
      <c r="H1816" s="65">
        <f>SUM(H1811:H1815)</f>
        <v>82850.55</v>
      </c>
    </row>
    <row r="1817" spans="1:8" ht="15.75">
      <c r="B1817" s="1" t="s">
        <v>1710</v>
      </c>
      <c r="F1817" s="42" t="s">
        <v>1689</v>
      </c>
      <c r="G1817" s="42"/>
      <c r="H1817" s="103">
        <f>FLOOR(H1816*0.15,0.01)</f>
        <v>12427.58</v>
      </c>
    </row>
    <row r="1818" spans="1:8" ht="15.75">
      <c r="A1818"/>
      <c r="B1818" s="147">
        <f>+H1818</f>
        <v>95278.13</v>
      </c>
      <c r="C1818" s="28" t="s">
        <v>3384</v>
      </c>
      <c r="D1818" s="103">
        <f>INT(B1818/B1819*100)/100</f>
        <v>2677.85</v>
      </c>
      <c r="E1818" s="1" t="s">
        <v>3385</v>
      </c>
      <c r="F1818" s="42" t="s">
        <v>1711</v>
      </c>
      <c r="G1818" s="42"/>
      <c r="H1818" s="103">
        <f>SUM(H1816:H1817)</f>
        <v>95278.13</v>
      </c>
    </row>
    <row r="1819" spans="1:8" ht="15.95" customHeight="1">
      <c r="B1819" s="149">
        <v>35.58</v>
      </c>
      <c r="F1819" s="38"/>
      <c r="G1819" s="38"/>
      <c r="H1819" s="38"/>
    </row>
    <row r="1820" spans="1:8" ht="15.95" customHeight="1">
      <c r="B1820" s="149"/>
      <c r="F1820" s="38"/>
      <c r="G1820" s="38"/>
      <c r="H1820" s="38"/>
    </row>
    <row r="1821" spans="1:8" ht="20.25">
      <c r="B1821" s="149"/>
      <c r="F1821" s="38"/>
      <c r="G1821" s="38"/>
      <c r="H1821" s="38"/>
    </row>
    <row r="1822" spans="1:8" ht="19.5">
      <c r="A1822" s="1089" t="s">
        <v>1337</v>
      </c>
      <c r="B1822" s="1089"/>
      <c r="C1822" s="1089"/>
      <c r="D1822" s="1089"/>
      <c r="E1822" s="1089"/>
      <c r="F1822" s="1089"/>
      <c r="G1822" s="1089"/>
      <c r="H1822" s="1089"/>
    </row>
    <row r="1823" spans="1:8" ht="19.5">
      <c r="A1823" s="1089" t="s">
        <v>2734</v>
      </c>
      <c r="B1823" s="1089"/>
      <c r="C1823" s="1089"/>
      <c r="D1823" s="1089"/>
      <c r="E1823" s="1089"/>
      <c r="F1823" s="1089"/>
      <c r="G1823" s="1089"/>
      <c r="H1823" s="1089"/>
    </row>
    <row r="1824" spans="1:8" ht="15.95" customHeight="1">
      <c r="A1824" s="282">
        <f>+A1806+1</f>
        <v>107</v>
      </c>
      <c r="B1824" s="1076" t="s">
        <v>3311</v>
      </c>
      <c r="C1824" s="1089"/>
      <c r="D1824" s="1089"/>
      <c r="E1824" s="1089"/>
      <c r="F1824" s="1089"/>
      <c r="G1824" s="1089"/>
      <c r="H1824" s="1089"/>
    </row>
    <row r="1825" spans="1:8">
      <c r="A1825" s="15" t="s">
        <v>2735</v>
      </c>
      <c r="B1825" s="1100" t="s">
        <v>126</v>
      </c>
      <c r="C1825" s="1083"/>
      <c r="D1825" s="1083"/>
      <c r="E1825" s="1083"/>
      <c r="F1825" s="1083"/>
      <c r="G1825" s="1083"/>
      <c r="H1825" s="1083"/>
    </row>
    <row r="1826" spans="1:8" ht="31.5">
      <c r="B1826" s="70" t="s">
        <v>3340</v>
      </c>
      <c r="C1826" s="70" t="s">
        <v>3341</v>
      </c>
      <c r="D1826" s="70" t="s">
        <v>3342</v>
      </c>
      <c r="E1826" s="70" t="s">
        <v>3343</v>
      </c>
      <c r="F1826" s="70" t="s">
        <v>3344</v>
      </c>
      <c r="G1826" s="70" t="s">
        <v>3345</v>
      </c>
      <c r="H1826" s="70" t="s">
        <v>1704</v>
      </c>
    </row>
    <row r="1827" spans="1:8" ht="15.95" customHeight="1">
      <c r="B1827" s="1067" t="s">
        <v>1705</v>
      </c>
      <c r="C1827" s="60" t="s">
        <v>610</v>
      </c>
      <c r="D1827" s="43">
        <v>23</v>
      </c>
      <c r="E1827" s="57" t="s">
        <v>1707</v>
      </c>
      <c r="F1827" s="111">
        <f>mason</f>
        <v>525</v>
      </c>
      <c r="G1827" s="111">
        <f t="shared" ref="G1827:G1832" si="58">FLOOR(D1827*F1827,0.01)</f>
        <v>12075</v>
      </c>
      <c r="H1827" s="112"/>
    </row>
    <row r="1828" spans="1:8" ht="15.95" customHeight="1">
      <c r="B1828" s="1070"/>
      <c r="C1828" s="58" t="s">
        <v>1647</v>
      </c>
      <c r="D1828" s="45">
        <v>2.2999999999999998</v>
      </c>
      <c r="E1828" s="58" t="s">
        <v>1707</v>
      </c>
      <c r="F1828" s="113">
        <f>'update Rate'!E4</f>
        <v>375</v>
      </c>
      <c r="G1828" s="65">
        <f t="shared" si="58"/>
        <v>862.5</v>
      </c>
      <c r="H1828" s="125">
        <f>SUM(G1827+G1828)</f>
        <v>12937.5</v>
      </c>
    </row>
    <row r="1829" spans="1:8" ht="15.95" customHeight="1">
      <c r="B1829" s="1069" t="s">
        <v>2330</v>
      </c>
      <c r="C1829" s="55" t="s">
        <v>1338</v>
      </c>
      <c r="D1829" s="44">
        <v>0.45</v>
      </c>
      <c r="E1829" s="55" t="s">
        <v>2530</v>
      </c>
      <c r="F1829" s="114">
        <f>'update Rate'!$F$53</f>
        <v>27365.25</v>
      </c>
      <c r="G1829" s="113">
        <f t="shared" si="58"/>
        <v>12314.36</v>
      </c>
      <c r="H1829" s="86"/>
    </row>
    <row r="1830" spans="1:8" ht="15.95" customHeight="1">
      <c r="B1830" s="1095"/>
      <c r="C1830" s="55" t="s">
        <v>989</v>
      </c>
      <c r="D1830" s="44">
        <v>37.5</v>
      </c>
      <c r="E1830" s="55" t="s">
        <v>3170</v>
      </c>
      <c r="F1830" s="113">
        <f>'update Rate'!F69</f>
        <v>193.68</v>
      </c>
      <c r="G1830" s="113">
        <f t="shared" si="58"/>
        <v>7263</v>
      </c>
      <c r="H1830" s="9"/>
    </row>
    <row r="1831" spans="1:8" ht="15.95" customHeight="1">
      <c r="B1831" s="1095"/>
      <c r="C1831" s="55" t="s">
        <v>1222</v>
      </c>
      <c r="D1831" s="259">
        <v>100</v>
      </c>
      <c r="E1831" s="55" t="s">
        <v>655</v>
      </c>
      <c r="F1831" s="113">
        <f>'update Rate'!$F$133</f>
        <v>39.36</v>
      </c>
      <c r="G1831" s="113">
        <f t="shared" si="58"/>
        <v>3936</v>
      </c>
      <c r="H1831" s="88"/>
    </row>
    <row r="1832" spans="1:8" ht="15.95" customHeight="1">
      <c r="B1832" s="1070"/>
      <c r="C1832" s="58" t="s">
        <v>2272</v>
      </c>
      <c r="D1832" s="45">
        <v>0.5</v>
      </c>
      <c r="E1832" s="58" t="s">
        <v>654</v>
      </c>
      <c r="F1832" s="65">
        <f>'update Rate'!$F$58</f>
        <v>99</v>
      </c>
      <c r="G1832" s="65">
        <f t="shared" si="58"/>
        <v>49.5</v>
      </c>
      <c r="H1832" s="127">
        <f>SUM(G1829:G1832)</f>
        <v>23562.86</v>
      </c>
    </row>
    <row r="1833" spans="1:8" ht="15.75">
      <c r="F1833" s="42" t="s">
        <v>1708</v>
      </c>
      <c r="G1833" s="42"/>
      <c r="H1833" s="65">
        <f>SUM(H1828:H1832)</f>
        <v>36500.36</v>
      </c>
    </row>
    <row r="1834" spans="1:8" ht="15.75">
      <c r="B1834" s="1" t="s">
        <v>1710</v>
      </c>
      <c r="F1834" s="42" t="s">
        <v>1689</v>
      </c>
      <c r="G1834" s="42"/>
      <c r="H1834" s="103">
        <f>FLOOR(H1833*0.15,0.01)</f>
        <v>5475.05</v>
      </c>
    </row>
    <row r="1835" spans="1:8" ht="15.75">
      <c r="A1835"/>
      <c r="B1835" s="147">
        <f>+H1835</f>
        <v>41975.41</v>
      </c>
      <c r="C1835" s="28" t="s">
        <v>3384</v>
      </c>
      <c r="D1835" s="103">
        <f>INT(B1835/B1836*100)/100</f>
        <v>1179.74</v>
      </c>
      <c r="E1835" s="1" t="s">
        <v>3385</v>
      </c>
      <c r="F1835" s="42" t="s">
        <v>1711</v>
      </c>
      <c r="G1835" s="42"/>
      <c r="H1835" s="103">
        <f>SUM(H1833:H1834)</f>
        <v>41975.41</v>
      </c>
    </row>
    <row r="1836" spans="1:8" ht="16.5">
      <c r="B1836" s="149">
        <v>35.58</v>
      </c>
    </row>
    <row r="1837" spans="1:8" ht="16.5">
      <c r="B1837" s="149"/>
    </row>
    <row r="1838" spans="1:8" ht="16.5">
      <c r="B1838" s="149"/>
    </row>
    <row r="1839" spans="1:8" ht="20.25">
      <c r="B1839" s="149"/>
      <c r="F1839" s="38"/>
      <c r="G1839" s="38"/>
      <c r="H1839" s="38"/>
    </row>
    <row r="1840" spans="1:8" ht="18" customHeight="1">
      <c r="A1840" s="1077" t="s">
        <v>1504</v>
      </c>
      <c r="B1840" s="1077"/>
      <c r="C1840" s="1077"/>
      <c r="D1840" s="1077"/>
      <c r="E1840" s="1077"/>
      <c r="F1840" s="1077"/>
      <c r="G1840" s="1077"/>
      <c r="H1840" s="1077"/>
    </row>
    <row r="1841" spans="1:8" ht="18" customHeight="1">
      <c r="A1841" s="282">
        <f>+A1824+1</f>
        <v>108</v>
      </c>
      <c r="B1841" s="1076" t="s">
        <v>1505</v>
      </c>
      <c r="C1841" s="1077"/>
      <c r="D1841" s="1077"/>
      <c r="E1841" s="1077"/>
      <c r="F1841" s="1077"/>
      <c r="G1841" s="1077"/>
      <c r="H1841" s="1077"/>
    </row>
    <row r="1842" spans="1:8" ht="18" customHeight="1">
      <c r="A1842" s="688" t="s">
        <v>4403</v>
      </c>
      <c r="B1842" s="1100" t="s">
        <v>2806</v>
      </c>
      <c r="C1842" s="1083"/>
      <c r="D1842" s="1083"/>
      <c r="E1842" s="1083"/>
      <c r="F1842" s="1083"/>
      <c r="G1842" s="1083"/>
      <c r="H1842" s="1083"/>
    </row>
    <row r="1843" spans="1:8" ht="31.5">
      <c r="A1843" s="39"/>
      <c r="B1843" s="70" t="s">
        <v>3340</v>
      </c>
      <c r="C1843" s="70" t="s">
        <v>3341</v>
      </c>
      <c r="D1843" s="70" t="s">
        <v>3342</v>
      </c>
      <c r="E1843" s="70" t="s">
        <v>3343</v>
      </c>
      <c r="F1843" s="70" t="s">
        <v>3344</v>
      </c>
      <c r="G1843" s="70" t="s">
        <v>3345</v>
      </c>
      <c r="H1843" s="70" t="s">
        <v>1704</v>
      </c>
    </row>
    <row r="1844" spans="1:8" ht="20.100000000000001" customHeight="1">
      <c r="B1844" s="1067" t="s">
        <v>1705</v>
      </c>
      <c r="C1844" s="60" t="s">
        <v>610</v>
      </c>
      <c r="D1844" s="43">
        <v>20</v>
      </c>
      <c r="E1844" s="57" t="s">
        <v>1707</v>
      </c>
      <c r="F1844" s="111">
        <f>'update Rate'!F5</f>
        <v>525</v>
      </c>
      <c r="G1844" s="111">
        <f>FLOOR(D1844*F1844,0.01)</f>
        <v>10500</v>
      </c>
      <c r="H1844" s="112"/>
    </row>
    <row r="1845" spans="1:8" ht="20.100000000000001" customHeight="1">
      <c r="B1845" s="1070"/>
      <c r="C1845" s="58" t="s">
        <v>1647</v>
      </c>
      <c r="D1845" s="45">
        <v>20</v>
      </c>
      <c r="E1845" s="58" t="s">
        <v>1707</v>
      </c>
      <c r="F1845" s="113">
        <f>'update Rate'!F4</f>
        <v>375</v>
      </c>
      <c r="G1845" s="65">
        <f>FLOOR(D1845*F1845,0.01)</f>
        <v>7500</v>
      </c>
      <c r="H1845" s="125">
        <f>SUM(G1844+G1845)</f>
        <v>18000</v>
      </c>
    </row>
    <row r="1846" spans="1:8" ht="24" customHeight="1">
      <c r="B1846" s="68" t="s">
        <v>2330</v>
      </c>
      <c r="C1846" s="66" t="s">
        <v>1506</v>
      </c>
      <c r="D1846" s="46">
        <v>1.05</v>
      </c>
      <c r="E1846" s="66" t="s">
        <v>804</v>
      </c>
      <c r="F1846" s="103">
        <f>torsteel</f>
        <v>80800</v>
      </c>
      <c r="G1846" s="65">
        <f>FLOOR(D1846*F1846,0.01)</f>
        <v>84840</v>
      </c>
      <c r="H1846" s="130">
        <f>SUM(G1846)</f>
        <v>84840</v>
      </c>
    </row>
    <row r="1847" spans="1:8" ht="20.100000000000001" customHeight="1">
      <c r="D1847" s="91"/>
      <c r="F1847" s="42" t="s">
        <v>1708</v>
      </c>
      <c r="G1847" s="42"/>
      <c r="H1847" s="65">
        <f>SUM(H1845:H1846)</f>
        <v>102840</v>
      </c>
    </row>
    <row r="1848" spans="1:8" ht="20.100000000000001" customHeight="1">
      <c r="B1848" s="1" t="s">
        <v>2807</v>
      </c>
      <c r="F1848" s="42" t="s">
        <v>1689</v>
      </c>
      <c r="G1848" s="42"/>
      <c r="H1848" s="103">
        <f>FLOOR(H1847*0.15,0.01)</f>
        <v>15426</v>
      </c>
    </row>
    <row r="1849" spans="1:8" ht="15.75">
      <c r="A1849" s="28" t="s">
        <v>3384</v>
      </c>
      <c r="B1849" s="103">
        <f>+H1849</f>
        <v>118266</v>
      </c>
      <c r="C1849" s="1" t="s">
        <v>3385</v>
      </c>
      <c r="F1849" s="42" t="s">
        <v>1711</v>
      </c>
      <c r="G1849" s="42"/>
      <c r="H1849" s="103">
        <f>SUM(H1847:H1848)</f>
        <v>118266</v>
      </c>
    </row>
    <row r="1850" spans="1:8" ht="15.75">
      <c r="A1850" s="28"/>
      <c r="B1850" s="151"/>
      <c r="F1850" s="42"/>
      <c r="G1850" s="42"/>
      <c r="H1850" s="151"/>
    </row>
    <row r="1852" spans="1:8" ht="20.100000000000001" customHeight="1">
      <c r="A1852" s="282">
        <f>A1841+1</f>
        <v>109</v>
      </c>
      <c r="B1852" s="1076" t="s">
        <v>3299</v>
      </c>
      <c r="C1852" s="1089"/>
      <c r="D1852" s="1089"/>
      <c r="E1852" s="1089"/>
      <c r="F1852" s="1089"/>
      <c r="G1852" s="1089"/>
      <c r="H1852" s="1089"/>
    </row>
    <row r="1853" spans="1:8" ht="19.5">
      <c r="A1853" s="688" t="s">
        <v>4402</v>
      </c>
      <c r="B1853" s="1076" t="s">
        <v>2990</v>
      </c>
      <c r="C1853" s="1089"/>
      <c r="D1853" s="1089"/>
      <c r="E1853" s="1089"/>
      <c r="F1853" s="1089"/>
      <c r="G1853" s="1089"/>
      <c r="H1853" s="1089"/>
    </row>
    <row r="1854" spans="1:8" ht="20.100000000000001" customHeight="1">
      <c r="B1854" s="1100" t="s">
        <v>2542</v>
      </c>
      <c r="C1854" s="1083"/>
      <c r="D1854" s="1083"/>
      <c r="E1854" s="1083"/>
      <c r="F1854" s="1083"/>
      <c r="G1854" s="1083"/>
      <c r="H1854" s="1083"/>
    </row>
    <row r="1855" spans="1:8" ht="31.5">
      <c r="B1855" s="70" t="s">
        <v>3340</v>
      </c>
      <c r="C1855" s="70" t="s">
        <v>3341</v>
      </c>
      <c r="D1855" s="70" t="s">
        <v>3342</v>
      </c>
      <c r="E1855" s="70" t="s">
        <v>3343</v>
      </c>
      <c r="F1855" s="70" t="s">
        <v>3344</v>
      </c>
      <c r="G1855" s="70" t="s">
        <v>3345</v>
      </c>
      <c r="H1855" s="70" t="s">
        <v>1704</v>
      </c>
    </row>
    <row r="1856" spans="1:8" ht="17.25">
      <c r="B1856" s="1067" t="s">
        <v>1705</v>
      </c>
      <c r="C1856" s="60" t="s">
        <v>610</v>
      </c>
      <c r="D1856" s="43">
        <v>9</v>
      </c>
      <c r="E1856" s="57" t="s">
        <v>1707</v>
      </c>
      <c r="F1856" s="111">
        <f>mason</f>
        <v>525</v>
      </c>
      <c r="G1856" s="111">
        <f t="shared" ref="G1856:G1861" si="59">FLOOR(D1856*F1856,0.01)</f>
        <v>4725</v>
      </c>
      <c r="H1856" s="112"/>
    </row>
    <row r="1857" spans="1:8" ht="17.25">
      <c r="A1857" s="39"/>
      <c r="B1857" s="1070"/>
      <c r="C1857" s="58" t="s">
        <v>1647</v>
      </c>
      <c r="D1857" s="45">
        <v>0.9</v>
      </c>
      <c r="E1857" s="58" t="s">
        <v>1707</v>
      </c>
      <c r="F1857" s="113">
        <f>'update Rate'!F4</f>
        <v>375</v>
      </c>
      <c r="G1857" s="65">
        <f t="shared" si="59"/>
        <v>337.5</v>
      </c>
      <c r="H1857" s="125">
        <f>SUM(G1856+G1857)</f>
        <v>5062.5</v>
      </c>
    </row>
    <row r="1858" spans="1:8" ht="17.25">
      <c r="B1858" s="1069" t="s">
        <v>2330</v>
      </c>
      <c r="C1858" s="57" t="s">
        <v>1844</v>
      </c>
      <c r="D1858" s="210">
        <v>3.4599999999999999E-2</v>
      </c>
      <c r="E1858" s="57" t="s">
        <v>2530</v>
      </c>
      <c r="F1858" s="114">
        <f>awood</f>
        <v>120054</v>
      </c>
      <c r="G1858" s="113">
        <f t="shared" si="59"/>
        <v>4153.8599999999997</v>
      </c>
      <c r="H1858" s="86"/>
    </row>
    <row r="1859" spans="1:8" ht="20.100000000000001" customHeight="1">
      <c r="B1859" s="1094"/>
      <c r="C1859" s="866" t="s">
        <v>3338</v>
      </c>
      <c r="D1859" s="54">
        <v>1.899</v>
      </c>
      <c r="E1859" s="55" t="s">
        <v>3170</v>
      </c>
      <c r="F1859" s="113">
        <f>'update Rate'!F71</f>
        <v>349.7</v>
      </c>
      <c r="G1859" s="113">
        <f t="shared" si="59"/>
        <v>664.08</v>
      </c>
      <c r="H1859" s="88"/>
    </row>
    <row r="1860" spans="1:8" ht="20.100000000000001" customHeight="1">
      <c r="B1860" s="1094"/>
      <c r="C1860" s="55" t="s">
        <v>3391</v>
      </c>
      <c r="D1860" s="54">
        <v>1.899</v>
      </c>
      <c r="E1860" s="55" t="s">
        <v>3170</v>
      </c>
      <c r="F1860" s="113">
        <f>'update Rate'!F81</f>
        <v>306.66000000000003</v>
      </c>
      <c r="G1860" s="113">
        <f t="shared" si="59"/>
        <v>582.34</v>
      </c>
      <c r="H1860" s="88"/>
    </row>
    <row r="1861" spans="1:8" ht="20.100000000000001" customHeight="1">
      <c r="B1861" s="1094"/>
      <c r="C1861" s="55" t="s">
        <v>1335</v>
      </c>
      <c r="D1861" s="54">
        <v>7.4340000000000002</v>
      </c>
      <c r="E1861" s="55" t="s">
        <v>2938</v>
      </c>
      <c r="F1861" s="113">
        <f>'update Rate'!F133</f>
        <v>39.36</v>
      </c>
      <c r="G1861" s="113">
        <f t="shared" si="59"/>
        <v>292.60000000000002</v>
      </c>
      <c r="H1861" s="88"/>
    </row>
    <row r="1862" spans="1:8" ht="15.75">
      <c r="A1862" s="39"/>
      <c r="B1862" s="1094"/>
      <c r="C1862" s="55" t="s">
        <v>3473</v>
      </c>
      <c r="D1862" s="293" t="s">
        <v>3171</v>
      </c>
      <c r="E1862" s="55" t="s">
        <v>3173</v>
      </c>
      <c r="F1862" s="113"/>
      <c r="G1862" s="113">
        <v>60</v>
      </c>
      <c r="H1862" s="88"/>
    </row>
    <row r="1863" spans="1:8" ht="17.25">
      <c r="B1863" s="1094"/>
      <c r="C1863" s="55" t="s">
        <v>2348</v>
      </c>
      <c r="D1863" s="44">
        <v>3</v>
      </c>
      <c r="E1863" s="55" t="s">
        <v>803</v>
      </c>
      <c r="F1863" s="113">
        <f>Kabja100</f>
        <v>26</v>
      </c>
      <c r="G1863" s="113">
        <f>FLOOR(D1863*F1863,0.01)</f>
        <v>78</v>
      </c>
      <c r="H1863" s="88"/>
    </row>
    <row r="1864" spans="1:8" ht="17.25">
      <c r="B1864" s="1094"/>
      <c r="C1864" s="55" t="s">
        <v>2373</v>
      </c>
      <c r="D1864" s="44">
        <v>2</v>
      </c>
      <c r="E1864" s="55" t="s">
        <v>803</v>
      </c>
      <c r="F1864" s="113">
        <f>cheskini150</f>
        <v>59</v>
      </c>
      <c r="G1864" s="113">
        <f>FLOOR(D1864*F1864,0.01)</f>
        <v>118</v>
      </c>
      <c r="H1864" s="88"/>
    </row>
    <row r="1865" spans="1:8" ht="28.5">
      <c r="B1865" s="1094"/>
      <c r="C1865" s="24" t="s">
        <v>429</v>
      </c>
      <c r="D1865" s="44">
        <v>1</v>
      </c>
      <c r="E1865" s="55" t="s">
        <v>803</v>
      </c>
      <c r="F1865" s="113">
        <f>moluck</f>
        <v>525</v>
      </c>
      <c r="G1865" s="113">
        <f>FLOOR(D1865*F1865,0.01)</f>
        <v>525</v>
      </c>
      <c r="H1865" s="88"/>
    </row>
    <row r="1866" spans="1:8" ht="34.5" customHeight="1">
      <c r="B1866" s="1094"/>
      <c r="C1866" s="55" t="s">
        <v>2179</v>
      </c>
      <c r="D1866" s="293" t="s">
        <v>3171</v>
      </c>
      <c r="E1866" s="55" t="s">
        <v>3173</v>
      </c>
      <c r="F1866" s="113"/>
      <c r="G1866" s="113">
        <v>45</v>
      </c>
      <c r="H1866" s="88"/>
    </row>
    <row r="1867" spans="1:8" ht="15.75">
      <c r="B1867" s="1073"/>
      <c r="C1867" s="58"/>
      <c r="D1867" s="61"/>
      <c r="E1867" s="58"/>
      <c r="F1867" s="65"/>
      <c r="G1867" s="65"/>
      <c r="H1867" s="127">
        <f>SUM(G1858:G1867)</f>
        <v>6518.88</v>
      </c>
    </row>
    <row r="1868" spans="1:8" ht="15.75">
      <c r="F1868" s="42" t="s">
        <v>1708</v>
      </c>
      <c r="G1868" s="42"/>
      <c r="H1868" s="65">
        <f>SUM(H1857:H1867)</f>
        <v>11581.380000000001</v>
      </c>
    </row>
    <row r="1869" spans="1:8" ht="15.75">
      <c r="B1869" s="3" t="s">
        <v>1710</v>
      </c>
      <c r="F1869" s="42" t="s">
        <v>1689</v>
      </c>
      <c r="G1869" s="42"/>
      <c r="H1869" s="103">
        <f>FLOOR(H1868*0.15,0.01)</f>
        <v>1737.2</v>
      </c>
    </row>
    <row r="1870" spans="1:8" ht="15.75">
      <c r="A1870"/>
      <c r="B1870" s="147">
        <f>+H1870</f>
        <v>13318.580000000002</v>
      </c>
      <c r="C1870" s="28" t="s">
        <v>3384</v>
      </c>
      <c r="D1870" s="103">
        <f>INT(B1870/B1871*100)/100</f>
        <v>5932.55</v>
      </c>
      <c r="E1870" s="1" t="s">
        <v>3385</v>
      </c>
      <c r="F1870" s="42" t="s">
        <v>1711</v>
      </c>
      <c r="G1870" s="42"/>
      <c r="H1870" s="103">
        <f>SUM(H1868:H1869)</f>
        <v>13318.580000000002</v>
      </c>
    </row>
    <row r="1871" spans="1:8" ht="16.5">
      <c r="B1871" s="149">
        <v>2.2450000000000001</v>
      </c>
      <c r="H1871" s="19"/>
    </row>
    <row r="1872" spans="1:8" ht="16.5">
      <c r="B1872" s="149"/>
      <c r="H1872" s="19"/>
    </row>
    <row r="1873" spans="1:8" ht="16.5">
      <c r="B1873" s="149"/>
      <c r="H1873" s="19"/>
    </row>
    <row r="1874" spans="1:8" ht="20.100000000000001" customHeight="1">
      <c r="B1874" s="149"/>
      <c r="H1874" s="19"/>
    </row>
    <row r="1875" spans="1:8" ht="20.100000000000001" customHeight="1">
      <c r="B1875" s="149"/>
      <c r="H1875" s="19"/>
    </row>
    <row r="1876" spans="1:8" ht="20.100000000000001" customHeight="1">
      <c r="A1876" s="282">
        <f>A1852+1</f>
        <v>110</v>
      </c>
      <c r="B1876" s="1076" t="s">
        <v>3299</v>
      </c>
      <c r="C1876" s="1089"/>
      <c r="D1876" s="1089"/>
      <c r="E1876" s="1089"/>
      <c r="F1876" s="1089"/>
      <c r="G1876" s="1089"/>
      <c r="H1876" s="1089"/>
    </row>
    <row r="1877" spans="1:8" ht="19.5">
      <c r="A1877" s="688" t="s">
        <v>4404</v>
      </c>
      <c r="B1877" s="1076" t="s">
        <v>1461</v>
      </c>
      <c r="C1877" s="1089"/>
      <c r="D1877" s="1089"/>
      <c r="E1877" s="1089"/>
      <c r="F1877" s="1089"/>
      <c r="G1877" s="1089"/>
      <c r="H1877" s="1089"/>
    </row>
    <row r="1878" spans="1:8" ht="20.100000000000001" customHeight="1">
      <c r="A1878" s="867" t="s">
        <v>2372</v>
      </c>
      <c r="B1878" s="1100" t="s">
        <v>2542</v>
      </c>
      <c r="C1878" s="1083"/>
      <c r="D1878" s="1083"/>
      <c r="E1878" s="1083"/>
      <c r="F1878" s="1083"/>
      <c r="G1878" s="1083"/>
      <c r="H1878" s="1083"/>
    </row>
    <row r="1879" spans="1:8" ht="31.5">
      <c r="B1879" s="70" t="s">
        <v>3340</v>
      </c>
      <c r="C1879" s="70" t="s">
        <v>3341</v>
      </c>
      <c r="D1879" s="70" t="s">
        <v>3342</v>
      </c>
      <c r="E1879" s="70" t="s">
        <v>3343</v>
      </c>
      <c r="F1879" s="70" t="s">
        <v>3344</v>
      </c>
      <c r="G1879" s="70" t="s">
        <v>3345</v>
      </c>
      <c r="H1879" s="70" t="s">
        <v>1704</v>
      </c>
    </row>
    <row r="1880" spans="1:8" ht="17.25">
      <c r="B1880" s="1067" t="s">
        <v>1705</v>
      </c>
      <c r="C1880" s="60" t="s">
        <v>610</v>
      </c>
      <c r="D1880" s="43">
        <v>9</v>
      </c>
      <c r="E1880" s="57" t="s">
        <v>1707</v>
      </c>
      <c r="F1880" s="111">
        <f>mason</f>
        <v>525</v>
      </c>
      <c r="G1880" s="111">
        <f t="shared" ref="G1880:G1885" si="60">FLOOR(D1880*F1880,0.01)</f>
        <v>4725</v>
      </c>
      <c r="H1880" s="112"/>
    </row>
    <row r="1881" spans="1:8" ht="20.100000000000001" customHeight="1">
      <c r="A1881" s="39"/>
      <c r="B1881" s="1070"/>
      <c r="C1881" s="58" t="s">
        <v>1647</v>
      </c>
      <c r="D1881" s="45">
        <v>0.9</v>
      </c>
      <c r="E1881" s="58" t="s">
        <v>1707</v>
      </c>
      <c r="F1881" s="113">
        <f>'update Rate'!F4</f>
        <v>375</v>
      </c>
      <c r="G1881" s="65">
        <f t="shared" si="60"/>
        <v>337.5</v>
      </c>
      <c r="H1881" s="125">
        <f>SUM(G1880+G1881)</f>
        <v>5062.5</v>
      </c>
    </row>
    <row r="1882" spans="1:8" ht="20.100000000000001" customHeight="1">
      <c r="B1882" s="1069" t="s">
        <v>2330</v>
      </c>
      <c r="C1882" s="57" t="s">
        <v>1844</v>
      </c>
      <c r="D1882" s="210">
        <v>3.4599999999999999E-2</v>
      </c>
      <c r="E1882" s="57" t="s">
        <v>2530</v>
      </c>
      <c r="F1882" s="114">
        <f>awood</f>
        <v>120054</v>
      </c>
      <c r="G1882" s="114">
        <f t="shared" si="60"/>
        <v>4153.8599999999997</v>
      </c>
      <c r="H1882" s="86"/>
    </row>
    <row r="1883" spans="1:8" ht="20.100000000000001" customHeight="1">
      <c r="B1883" s="1094"/>
      <c r="C1883" s="866" t="s">
        <v>3338</v>
      </c>
      <c r="D1883" s="54">
        <v>1.899</v>
      </c>
      <c r="E1883" s="55" t="s">
        <v>3170</v>
      </c>
      <c r="F1883" s="113">
        <f>'update Rate'!F71</f>
        <v>349.7</v>
      </c>
      <c r="G1883" s="113">
        <f t="shared" si="60"/>
        <v>664.08</v>
      </c>
      <c r="H1883" s="88"/>
    </row>
    <row r="1884" spans="1:8" ht="17.25">
      <c r="B1884" s="1094"/>
      <c r="C1884" s="55" t="s">
        <v>3391</v>
      </c>
      <c r="D1884" s="54">
        <v>3.798</v>
      </c>
      <c r="E1884" s="55" t="s">
        <v>3170</v>
      </c>
      <c r="F1884" s="113">
        <f>'update Rate'!F81</f>
        <v>306.66000000000003</v>
      </c>
      <c r="G1884" s="113">
        <f t="shared" si="60"/>
        <v>1164.69</v>
      </c>
      <c r="H1884" s="88"/>
    </row>
    <row r="1885" spans="1:8" ht="17.25">
      <c r="B1885" s="1094"/>
      <c r="C1885" s="55" t="s">
        <v>1335</v>
      </c>
      <c r="D1885" s="54">
        <v>14.868</v>
      </c>
      <c r="E1885" s="55" t="s">
        <v>2938</v>
      </c>
      <c r="F1885" s="113">
        <f>'update Rate'!F133</f>
        <v>39.36</v>
      </c>
      <c r="G1885" s="113">
        <f t="shared" si="60"/>
        <v>585.20000000000005</v>
      </c>
      <c r="H1885" s="88"/>
    </row>
    <row r="1886" spans="1:8" ht="15.75">
      <c r="A1886" s="39"/>
      <c r="B1886" s="1094"/>
      <c r="C1886" s="55" t="s">
        <v>3473</v>
      </c>
      <c r="D1886" s="293" t="s">
        <v>3171</v>
      </c>
      <c r="E1886" s="55" t="s">
        <v>3173</v>
      </c>
      <c r="F1886" s="113"/>
      <c r="G1886" s="113">
        <v>60</v>
      </c>
      <c r="H1886" s="88"/>
    </row>
    <row r="1887" spans="1:8" ht="17.25">
      <c r="B1887" s="1094"/>
      <c r="C1887" s="55" t="s">
        <v>2348</v>
      </c>
      <c r="D1887" s="44">
        <v>3</v>
      </c>
      <c r="E1887" s="55" t="s">
        <v>803</v>
      </c>
      <c r="F1887" s="113">
        <f>Kabja100</f>
        <v>26</v>
      </c>
      <c r="G1887" s="113">
        <f>FLOOR(D1887*F1887,0.01)</f>
        <v>78</v>
      </c>
      <c r="H1887" s="88"/>
    </row>
    <row r="1888" spans="1:8" ht="17.25">
      <c r="B1888" s="1094"/>
      <c r="C1888" s="55" t="s">
        <v>2373</v>
      </c>
      <c r="D1888" s="44">
        <v>2</v>
      </c>
      <c r="E1888" s="55" t="s">
        <v>803</v>
      </c>
      <c r="F1888" s="113">
        <f>cheskini150</f>
        <v>59</v>
      </c>
      <c r="G1888" s="113">
        <f>FLOOR(D1888*F1888,0.01)</f>
        <v>118</v>
      </c>
      <c r="H1888" s="88"/>
    </row>
    <row r="1889" spans="1:8" ht="28.5">
      <c r="B1889" s="1094"/>
      <c r="C1889" s="24" t="s">
        <v>429</v>
      </c>
      <c r="D1889" s="44">
        <v>1</v>
      </c>
      <c r="E1889" s="55" t="s">
        <v>803</v>
      </c>
      <c r="F1889" s="113">
        <f>moluck</f>
        <v>525</v>
      </c>
      <c r="G1889" s="113">
        <f>FLOOR(D1889*F1889,0.01)</f>
        <v>525</v>
      </c>
      <c r="H1889" s="88"/>
    </row>
    <row r="1890" spans="1:8" ht="15.75">
      <c r="B1890" s="1073"/>
      <c r="C1890" s="58" t="s">
        <v>2179</v>
      </c>
      <c r="D1890" s="61" t="s">
        <v>3171</v>
      </c>
      <c r="E1890" s="58" t="s">
        <v>3173</v>
      </c>
      <c r="F1890" s="65"/>
      <c r="G1890" s="65">
        <v>45</v>
      </c>
      <c r="H1890" s="127">
        <f>SUM(G1882:G1890)</f>
        <v>7393.829999999999</v>
      </c>
    </row>
    <row r="1891" spans="1:8" ht="15.75">
      <c r="F1891" s="42" t="s">
        <v>1708</v>
      </c>
      <c r="G1891" s="42"/>
      <c r="H1891" s="65">
        <f>SUM(H1881:H1890)</f>
        <v>12456.329999999998</v>
      </c>
    </row>
    <row r="1892" spans="1:8" ht="15.75">
      <c r="B1892" s="3" t="s">
        <v>1710</v>
      </c>
      <c r="F1892" s="42" t="s">
        <v>1689</v>
      </c>
      <c r="G1892" s="42"/>
      <c r="H1892" s="103">
        <f>FLOOR(H1891*0.15,0.01)</f>
        <v>1868.44</v>
      </c>
    </row>
    <row r="1893" spans="1:8" ht="20.100000000000001" customHeight="1">
      <c r="A1893"/>
      <c r="B1893" s="147">
        <f>+H1893</f>
        <v>14324.769999999999</v>
      </c>
      <c r="C1893" s="28" t="s">
        <v>3384</v>
      </c>
      <c r="D1893" s="103">
        <f>INT(B1893/B1894*100)/100</f>
        <v>6380.74</v>
      </c>
      <c r="E1893" s="1" t="s">
        <v>3385</v>
      </c>
      <c r="F1893" s="42" t="s">
        <v>1711</v>
      </c>
      <c r="G1893" s="42"/>
      <c r="H1893" s="103">
        <f>SUM(H1891:H1892)</f>
        <v>14324.769999999999</v>
      </c>
    </row>
    <row r="1894" spans="1:8" ht="20.100000000000001" customHeight="1">
      <c r="B1894" s="149">
        <v>2.2450000000000001</v>
      </c>
      <c r="H1894" s="19"/>
    </row>
    <row r="1895" spans="1:8" ht="20.100000000000001" customHeight="1">
      <c r="A1895" s="282">
        <f>A1876+1</f>
        <v>111</v>
      </c>
      <c r="B1895" s="1076" t="s">
        <v>3300</v>
      </c>
      <c r="C1895" s="1089"/>
      <c r="D1895" s="1089"/>
      <c r="E1895" s="1089"/>
      <c r="F1895" s="1089"/>
      <c r="G1895" s="1089"/>
      <c r="H1895" s="1089"/>
    </row>
    <row r="1896" spans="1:8" ht="19.5">
      <c r="A1896" s="688" t="s">
        <v>4405</v>
      </c>
      <c r="B1896" s="1076" t="s">
        <v>2540</v>
      </c>
      <c r="C1896" s="1089"/>
      <c r="D1896" s="1089"/>
      <c r="E1896" s="1089"/>
      <c r="F1896" s="1089"/>
      <c r="G1896" s="1089"/>
      <c r="H1896" s="1089"/>
    </row>
    <row r="1897" spans="1:8" ht="20.100000000000001" customHeight="1">
      <c r="A1897" s="867" t="s">
        <v>2372</v>
      </c>
      <c r="B1897" s="1100" t="s">
        <v>2542</v>
      </c>
      <c r="C1897" s="1083"/>
      <c r="D1897" s="1083"/>
      <c r="E1897" s="1083"/>
      <c r="F1897" s="1083"/>
      <c r="G1897" s="1083"/>
      <c r="H1897" s="1083"/>
    </row>
    <row r="1898" spans="1:8" ht="31.5">
      <c r="B1898" s="70" t="s">
        <v>3340</v>
      </c>
      <c r="C1898" s="70" t="s">
        <v>3341</v>
      </c>
      <c r="D1898" s="70" t="s">
        <v>3342</v>
      </c>
      <c r="E1898" s="70" t="s">
        <v>3343</v>
      </c>
      <c r="F1898" s="70" t="s">
        <v>3344</v>
      </c>
      <c r="G1898" s="70" t="s">
        <v>3345</v>
      </c>
      <c r="H1898" s="70" t="s">
        <v>1704</v>
      </c>
    </row>
    <row r="1899" spans="1:8" ht="17.25">
      <c r="B1899" s="1067" t="s">
        <v>1705</v>
      </c>
      <c r="C1899" s="60" t="s">
        <v>610</v>
      </c>
      <c r="D1899" s="43">
        <v>9</v>
      </c>
      <c r="E1899" s="57" t="s">
        <v>1707</v>
      </c>
      <c r="F1899" s="111">
        <f>mason</f>
        <v>525</v>
      </c>
      <c r="G1899" s="111">
        <f t="shared" ref="G1899:G1900" si="61">FLOOR(D1899*F1899,0.01)</f>
        <v>4725</v>
      </c>
      <c r="H1899" s="112"/>
    </row>
    <row r="1900" spans="1:8" ht="17.25">
      <c r="A1900" s="39"/>
      <c r="B1900" s="1070"/>
      <c r="C1900" s="58" t="s">
        <v>1647</v>
      </c>
      <c r="D1900" s="45">
        <v>0.9</v>
      </c>
      <c r="E1900" s="58" t="s">
        <v>1707</v>
      </c>
      <c r="F1900" s="113">
        <f>'update Rate'!F4</f>
        <v>375</v>
      </c>
      <c r="G1900" s="65">
        <f t="shared" si="61"/>
        <v>337.5</v>
      </c>
      <c r="H1900" s="125">
        <f>SUM(G1899+G1900)</f>
        <v>5062.5</v>
      </c>
    </row>
    <row r="1901" spans="1:8" ht="20.100000000000001" customHeight="1">
      <c r="B1901" s="1069" t="s">
        <v>2330</v>
      </c>
      <c r="C1901" s="57" t="s">
        <v>1844</v>
      </c>
      <c r="D1901" s="210">
        <v>3.4599999999999999E-2</v>
      </c>
      <c r="E1901" s="57" t="s">
        <v>2530</v>
      </c>
      <c r="F1901" s="114">
        <f>awood</f>
        <v>120054</v>
      </c>
      <c r="G1901" s="114">
        <f>FLOOR(D1901*F1901,0.01)</f>
        <v>4153.8599999999997</v>
      </c>
      <c r="H1901" s="86"/>
    </row>
    <row r="1902" spans="1:8" ht="17.25">
      <c r="B1902" s="1094"/>
      <c r="C1902" s="866" t="s">
        <v>2541</v>
      </c>
      <c r="D1902" s="54">
        <v>1.899</v>
      </c>
      <c r="E1902" s="55" t="s">
        <v>3170</v>
      </c>
      <c r="F1902" s="113">
        <f>'update Rate'!F75</f>
        <v>494.96</v>
      </c>
      <c r="G1902" s="113">
        <f t="shared" ref="G1902:G1904" si="62">FLOOR(D1902*F1902,0.01)</f>
        <v>939.92000000000007</v>
      </c>
      <c r="H1902" s="88"/>
    </row>
    <row r="1903" spans="1:8" ht="17.25">
      <c r="B1903" s="1094"/>
      <c r="C1903" s="55" t="s">
        <v>3391</v>
      </c>
      <c r="D1903" s="54">
        <v>1.899</v>
      </c>
      <c r="E1903" s="55" t="s">
        <v>3170</v>
      </c>
      <c r="F1903" s="113">
        <f>'update Rate'!F81</f>
        <v>306.66000000000003</v>
      </c>
      <c r="G1903" s="113">
        <f t="shared" si="62"/>
        <v>582.34</v>
      </c>
      <c r="H1903" s="88"/>
    </row>
    <row r="1904" spans="1:8" ht="17.25">
      <c r="B1904" s="1094"/>
      <c r="C1904" s="55" t="s">
        <v>1335</v>
      </c>
      <c r="D1904" s="54">
        <v>7.4340000000000002</v>
      </c>
      <c r="E1904" s="55" t="s">
        <v>2938</v>
      </c>
      <c r="F1904" s="113">
        <f>'update Rate'!F133</f>
        <v>39.36</v>
      </c>
      <c r="G1904" s="113">
        <f t="shared" si="62"/>
        <v>292.60000000000002</v>
      </c>
      <c r="H1904" s="88"/>
    </row>
    <row r="1905" spans="1:8" ht="15.75">
      <c r="A1905" s="39"/>
      <c r="B1905" s="1094"/>
      <c r="C1905" s="55" t="s">
        <v>3473</v>
      </c>
      <c r="D1905" s="293" t="s">
        <v>89</v>
      </c>
      <c r="E1905" s="55" t="s">
        <v>3173</v>
      </c>
      <c r="F1905" s="113"/>
      <c r="G1905" s="113">
        <v>60</v>
      </c>
      <c r="H1905" s="88"/>
    </row>
    <row r="1906" spans="1:8" ht="17.25">
      <c r="B1906" s="1094"/>
      <c r="C1906" s="55" t="s">
        <v>2348</v>
      </c>
      <c r="D1906" s="44">
        <v>3</v>
      </c>
      <c r="E1906" s="55" t="s">
        <v>803</v>
      </c>
      <c r="F1906" s="113">
        <f>Kabja100</f>
        <v>26</v>
      </c>
      <c r="G1906" s="113">
        <f>FLOOR(D1906*F1906,0.01)</f>
        <v>78</v>
      </c>
      <c r="H1906" s="88"/>
    </row>
    <row r="1907" spans="1:8" ht="17.25">
      <c r="B1907" s="1094"/>
      <c r="C1907" s="55" t="s">
        <v>2373</v>
      </c>
      <c r="D1907" s="44">
        <v>2</v>
      </c>
      <c r="E1907" s="55" t="s">
        <v>803</v>
      </c>
      <c r="F1907" s="113">
        <f>cheskini150</f>
        <v>59</v>
      </c>
      <c r="G1907" s="113">
        <f>FLOOR(D1907*F1907,0.01)</f>
        <v>118</v>
      </c>
      <c r="H1907" s="88"/>
    </row>
    <row r="1908" spans="1:8" ht="28.5">
      <c r="B1908" s="1094"/>
      <c r="C1908" s="24" t="s">
        <v>429</v>
      </c>
      <c r="D1908" s="44">
        <v>1</v>
      </c>
      <c r="E1908" s="55" t="s">
        <v>803</v>
      </c>
      <c r="F1908" s="113">
        <f>moluck</f>
        <v>525</v>
      </c>
      <c r="G1908" s="113">
        <f>FLOOR(D1908*F1908,0.01)</f>
        <v>525</v>
      </c>
      <c r="H1908" s="88"/>
    </row>
    <row r="1909" spans="1:8" ht="15.75">
      <c r="B1909" s="1073"/>
      <c r="C1909" s="58" t="s">
        <v>2179</v>
      </c>
      <c r="D1909" s="61" t="s">
        <v>89</v>
      </c>
      <c r="E1909" s="58" t="s">
        <v>3173</v>
      </c>
      <c r="F1909" s="65"/>
      <c r="G1909" s="65">
        <v>45</v>
      </c>
      <c r="H1909" s="127">
        <f>SUM(G1901:G1909)</f>
        <v>6794.72</v>
      </c>
    </row>
    <row r="1910" spans="1:8" ht="20.100000000000001" customHeight="1">
      <c r="F1910" s="42" t="s">
        <v>1708</v>
      </c>
      <c r="G1910" s="42"/>
      <c r="H1910" s="65">
        <f>SUM(H1900:H1909)</f>
        <v>11857.220000000001</v>
      </c>
    </row>
    <row r="1911" spans="1:8" ht="20.100000000000001" customHeight="1">
      <c r="B1911" s="3" t="s">
        <v>1710</v>
      </c>
      <c r="F1911" s="42" t="s">
        <v>1689</v>
      </c>
      <c r="G1911" s="42"/>
      <c r="H1911" s="103">
        <f>FLOOR(H1910*0.15,0.01)</f>
        <v>1778.58</v>
      </c>
    </row>
    <row r="1912" spans="1:8" ht="15.75">
      <c r="A1912"/>
      <c r="B1912" s="147">
        <f>+H1912</f>
        <v>13635.800000000001</v>
      </c>
      <c r="C1912" s="28" t="s">
        <v>3384</v>
      </c>
      <c r="D1912" s="103">
        <f>INT(B1912/B1913*100)/100</f>
        <v>6073.85</v>
      </c>
      <c r="E1912" s="1" t="s">
        <v>3385</v>
      </c>
      <c r="F1912" s="42" t="s">
        <v>1711</v>
      </c>
      <c r="G1912" s="42"/>
      <c r="H1912" s="103">
        <f>SUM(H1910:H1911)</f>
        <v>13635.800000000001</v>
      </c>
    </row>
    <row r="1913" spans="1:8" ht="16.5">
      <c r="B1913" s="149">
        <v>2.2450000000000001</v>
      </c>
      <c r="H1913" s="19"/>
    </row>
    <row r="1914" spans="1:8" ht="16.5">
      <c r="B1914" s="149"/>
      <c r="H1914" s="19"/>
    </row>
    <row r="1915" spans="1:8" ht="16.5">
      <c r="B1915" s="149"/>
      <c r="H1915" s="19"/>
    </row>
    <row r="1916" spans="1:8" ht="16.5">
      <c r="B1916" s="149"/>
      <c r="H1916" s="19"/>
    </row>
    <row r="1917" spans="1:8" ht="16.5">
      <c r="B1917" s="149"/>
      <c r="H1917" s="19"/>
    </row>
    <row r="1918" spans="1:8" ht="16.5">
      <c r="B1918" s="149"/>
      <c r="H1918" s="19"/>
    </row>
    <row r="1919" spans="1:8" ht="16.5">
      <c r="B1919" s="149"/>
      <c r="H1919" s="19"/>
    </row>
    <row r="1920" spans="1:8" ht="30" customHeight="1">
      <c r="A1920" s="282">
        <f>A1895+1</f>
        <v>112</v>
      </c>
      <c r="B1920" s="1118" t="s">
        <v>1034</v>
      </c>
      <c r="C1920" s="1131"/>
      <c r="D1920" s="1131"/>
      <c r="E1920" s="1131"/>
      <c r="F1920" s="1131"/>
      <c r="G1920" s="1131"/>
      <c r="H1920" s="1131"/>
    </row>
    <row r="1921" spans="1:8">
      <c r="A1921" s="868" t="s">
        <v>4077</v>
      </c>
      <c r="B1921" s="1100" t="s">
        <v>1334</v>
      </c>
      <c r="C1921" s="1083"/>
      <c r="D1921" s="1083"/>
      <c r="E1921" s="1083"/>
      <c r="F1921" s="1083"/>
      <c r="G1921" s="1083"/>
      <c r="H1921" s="1083"/>
    </row>
    <row r="1922" spans="1:8" ht="31.5">
      <c r="B1922" s="70" t="s">
        <v>3340</v>
      </c>
      <c r="C1922" s="70" t="s">
        <v>3341</v>
      </c>
      <c r="D1922" s="70" t="s">
        <v>3342</v>
      </c>
      <c r="E1922" s="70" t="s">
        <v>3343</v>
      </c>
      <c r="F1922" s="70" t="s">
        <v>3344</v>
      </c>
      <c r="G1922" s="70" t="s">
        <v>3345</v>
      </c>
      <c r="H1922" s="70" t="s">
        <v>1704</v>
      </c>
    </row>
    <row r="1923" spans="1:8" ht="17.25">
      <c r="B1923" s="1067" t="s">
        <v>1705</v>
      </c>
      <c r="C1923" s="60" t="s">
        <v>610</v>
      </c>
      <c r="D1923" s="258">
        <v>1.76</v>
      </c>
      <c r="E1923" s="57" t="s">
        <v>1707</v>
      </c>
      <c r="F1923" s="111">
        <f>mason</f>
        <v>525</v>
      </c>
      <c r="G1923" s="111">
        <f>FLOOR(D1923*F1923,0.01)</f>
        <v>924</v>
      </c>
      <c r="H1923" s="112"/>
    </row>
    <row r="1924" spans="1:8" ht="17.25">
      <c r="A1924" s="39"/>
      <c r="B1924" s="1070"/>
      <c r="C1924" s="58" t="s">
        <v>1647</v>
      </c>
      <c r="D1924" s="51">
        <v>0.17599999999999999</v>
      </c>
      <c r="E1924" s="58" t="s">
        <v>1707</v>
      </c>
      <c r="F1924" s="113">
        <f>'update Rate'!F4</f>
        <v>375</v>
      </c>
      <c r="G1924" s="65">
        <f>FLOOR(D1924*F1924,0.01)</f>
        <v>66</v>
      </c>
      <c r="H1924" s="125">
        <f>SUM(G1923+G1924)</f>
        <v>990</v>
      </c>
    </row>
    <row r="1925" spans="1:8" ht="17.25">
      <c r="B1925" s="1069" t="s">
        <v>2330</v>
      </c>
      <c r="C1925" s="169" t="s">
        <v>199</v>
      </c>
      <c r="D1925" s="210">
        <v>1</v>
      </c>
      <c r="E1925" s="57" t="s">
        <v>3170</v>
      </c>
      <c r="F1925" s="114">
        <f>'update Rate'!F324</f>
        <v>1506.3999999999999</v>
      </c>
      <c r="G1925" s="114">
        <f>FLOOR(D1925*F1925,0.01)</f>
        <v>1506.4</v>
      </c>
      <c r="H1925" s="86"/>
    </row>
    <row r="1926" spans="1:8" ht="17.25">
      <c r="B1926" s="1094"/>
      <c r="C1926" s="55" t="s">
        <v>1335</v>
      </c>
      <c r="D1926" s="54">
        <v>4</v>
      </c>
      <c r="E1926" s="55" t="s">
        <v>2938</v>
      </c>
      <c r="F1926" s="113">
        <f>'update Rate'!F133</f>
        <v>39.36</v>
      </c>
      <c r="G1926" s="113">
        <f>FLOOR(D1926*F1926,0.01)</f>
        <v>157.44</v>
      </c>
      <c r="H1926" s="88"/>
    </row>
    <row r="1927" spans="1:8" ht="15.75">
      <c r="A1927" s="39"/>
      <c r="B1927" s="1094"/>
      <c r="C1927" s="55" t="s">
        <v>3473</v>
      </c>
      <c r="D1927" s="293" t="s">
        <v>3171</v>
      </c>
      <c r="E1927" s="55" t="s">
        <v>3173</v>
      </c>
      <c r="F1927" s="113"/>
      <c r="G1927" s="113">
        <v>20</v>
      </c>
      <c r="H1927" s="88"/>
    </row>
    <row r="1928" spans="1:8" ht="17.25">
      <c r="B1928" s="1094"/>
      <c r="C1928" s="55" t="s">
        <v>2348</v>
      </c>
      <c r="D1928" s="44">
        <v>3</v>
      </c>
      <c r="E1928" s="55" t="s">
        <v>803</v>
      </c>
      <c r="F1928" s="113">
        <f>Kabja100</f>
        <v>26</v>
      </c>
      <c r="G1928" s="113">
        <f>FLOOR(D1928*F1928,0.01)</f>
        <v>78</v>
      </c>
      <c r="H1928" s="88"/>
    </row>
    <row r="1929" spans="1:8" ht="17.25">
      <c r="B1929" s="1094"/>
      <c r="C1929" s="55" t="s">
        <v>2373</v>
      </c>
      <c r="D1929" s="44">
        <v>2</v>
      </c>
      <c r="E1929" s="55" t="s">
        <v>803</v>
      </c>
      <c r="F1929" s="113">
        <f>cheskini150</f>
        <v>59</v>
      </c>
      <c r="G1929" s="113">
        <f>FLOOR(D1929*F1929,0.01)</f>
        <v>118</v>
      </c>
      <c r="H1929" s="88"/>
    </row>
    <row r="1930" spans="1:8" ht="28.5">
      <c r="B1930" s="1094"/>
      <c r="C1930" s="24" t="s">
        <v>429</v>
      </c>
      <c r="D1930" s="44">
        <v>1</v>
      </c>
      <c r="E1930" s="55" t="s">
        <v>803</v>
      </c>
      <c r="F1930" s="113">
        <f>moluck</f>
        <v>525</v>
      </c>
      <c r="G1930" s="113">
        <f>FLOOR(D1930*F1930,0.01)</f>
        <v>525</v>
      </c>
      <c r="H1930" s="88"/>
    </row>
    <row r="1931" spans="1:8" ht="15.75">
      <c r="B1931" s="1073"/>
      <c r="C1931" s="58" t="s">
        <v>2179</v>
      </c>
      <c r="D1931" s="61" t="s">
        <v>3171</v>
      </c>
      <c r="E1931" s="58" t="s">
        <v>3173</v>
      </c>
      <c r="F1931" s="65"/>
      <c r="G1931" s="65">
        <v>45</v>
      </c>
      <c r="H1931" s="127">
        <f>SUM(G1925:G1931)</f>
        <v>2449.84</v>
      </c>
    </row>
    <row r="1932" spans="1:8" ht="15.75">
      <c r="F1932" s="42" t="s">
        <v>1708</v>
      </c>
      <c r="G1932" s="42"/>
      <c r="H1932" s="65">
        <f>SUM(H1924:H1931)</f>
        <v>3439.84</v>
      </c>
    </row>
    <row r="1933" spans="1:8" ht="15.75">
      <c r="B1933" s="3" t="s">
        <v>1710</v>
      </c>
      <c r="F1933" s="42" t="s">
        <v>1689</v>
      </c>
      <c r="G1933" s="42"/>
      <c r="H1933" s="103">
        <f>FLOOR(H1932*0.15,0.01)</f>
        <v>515.97</v>
      </c>
    </row>
    <row r="1934" spans="1:8" ht="15.75">
      <c r="A1934"/>
      <c r="B1934" s="147">
        <f>+H1934</f>
        <v>3955.8100000000004</v>
      </c>
      <c r="C1934" s="28" t="s">
        <v>3384</v>
      </c>
      <c r="D1934" s="103">
        <f>INT(B1934/B1935*100)/100</f>
        <v>3955.81</v>
      </c>
      <c r="E1934" s="1" t="s">
        <v>3385</v>
      </c>
      <c r="F1934" s="42" t="s">
        <v>1711</v>
      </c>
      <c r="G1934" s="42"/>
      <c r="H1934" s="103">
        <f>SUM(H1932:H1933)</f>
        <v>3955.8100000000004</v>
      </c>
    </row>
    <row r="1935" spans="1:8" ht="16.5">
      <c r="B1935" s="149">
        <v>1</v>
      </c>
      <c r="H1935" s="19"/>
    </row>
    <row r="1936" spans="1:8" ht="16.5">
      <c r="B1936" s="149"/>
      <c r="H1936" s="19"/>
    </row>
    <row r="1937" spans="1:8" ht="30.75" customHeight="1">
      <c r="A1937" s="282">
        <f>A1920+1</f>
        <v>113</v>
      </c>
      <c r="B1937" s="1118" t="s">
        <v>4374</v>
      </c>
      <c r="C1937" s="1131"/>
      <c r="D1937" s="1131"/>
      <c r="E1937" s="1131"/>
      <c r="F1937" s="1131"/>
      <c r="G1937" s="1131"/>
      <c r="H1937" s="1131"/>
    </row>
    <row r="1938" spans="1:8">
      <c r="A1938" s="868" t="s">
        <v>4076</v>
      </c>
      <c r="B1938" s="1100" t="s">
        <v>222</v>
      </c>
      <c r="C1938" s="1083"/>
      <c r="D1938" s="1083"/>
      <c r="E1938" s="1083"/>
      <c r="F1938" s="1083"/>
      <c r="G1938" s="1083"/>
      <c r="H1938" s="1083"/>
    </row>
    <row r="1939" spans="1:8" ht="31.5">
      <c r="B1939" s="70" t="s">
        <v>3340</v>
      </c>
      <c r="C1939" s="70" t="s">
        <v>3341</v>
      </c>
      <c r="D1939" s="70" t="s">
        <v>3342</v>
      </c>
      <c r="E1939" s="70" t="s">
        <v>3343</v>
      </c>
      <c r="F1939" s="70" t="s">
        <v>3344</v>
      </c>
      <c r="G1939" s="70" t="s">
        <v>3345</v>
      </c>
      <c r="H1939" s="70" t="s">
        <v>1704</v>
      </c>
    </row>
    <row r="1940" spans="1:8" ht="17.25">
      <c r="B1940" s="1067" t="s">
        <v>1705</v>
      </c>
      <c r="C1940" s="60" t="s">
        <v>610</v>
      </c>
      <c r="D1940" s="258">
        <v>1.61</v>
      </c>
      <c r="E1940" s="57" t="s">
        <v>1707</v>
      </c>
      <c r="F1940" s="111">
        <f>mason</f>
        <v>525</v>
      </c>
      <c r="G1940" s="111">
        <f>FLOOR(D1940*F1940,0.01)</f>
        <v>845.25</v>
      </c>
      <c r="H1940" s="112"/>
    </row>
    <row r="1941" spans="1:8" ht="17.25">
      <c r="A1941" s="39"/>
      <c r="B1941" s="1070"/>
      <c r="C1941" s="58" t="s">
        <v>1647</v>
      </c>
      <c r="D1941" s="51">
        <v>0.161</v>
      </c>
      <c r="E1941" s="58" t="s">
        <v>1707</v>
      </c>
      <c r="F1941" s="113">
        <f>'update Rate'!F4</f>
        <v>375</v>
      </c>
      <c r="G1941" s="65">
        <f>FLOOR(D1941*F1941,0.01)</f>
        <v>60.370000000000005</v>
      </c>
      <c r="H1941" s="125">
        <f>SUM(G1940+G1941)</f>
        <v>905.62</v>
      </c>
    </row>
    <row r="1942" spans="1:8" ht="21.75" customHeight="1">
      <c r="B1942" s="1069" t="s">
        <v>2330</v>
      </c>
      <c r="C1942" s="169" t="s">
        <v>199</v>
      </c>
      <c r="D1942" s="210">
        <v>1.1000000000000001</v>
      </c>
      <c r="E1942" s="57" t="s">
        <v>3170</v>
      </c>
      <c r="F1942" s="114">
        <f>'update Rate'!F325</f>
        <v>2044.3999999999999</v>
      </c>
      <c r="G1942" s="114">
        <f>FLOOR(D1942*F1942,0.01)</f>
        <v>2248.84</v>
      </c>
      <c r="H1942" s="86"/>
    </row>
    <row r="1943" spans="1:8" ht="17.25">
      <c r="B1943" s="1094"/>
      <c r="C1943" s="55" t="s">
        <v>1335</v>
      </c>
      <c r="D1943" s="54">
        <v>7.4340000000000002</v>
      </c>
      <c r="E1943" s="55" t="s">
        <v>2938</v>
      </c>
      <c r="F1943" s="113">
        <f>'update Rate'!F133</f>
        <v>39.36</v>
      </c>
      <c r="G1943" s="113">
        <f>FLOOR(D1943*F1943,0.01)</f>
        <v>292.60000000000002</v>
      </c>
      <c r="H1943" s="88"/>
    </row>
    <row r="1944" spans="1:8" ht="15.75" customHeight="1">
      <c r="A1944" s="39"/>
      <c r="B1944" s="1094"/>
      <c r="C1944" s="55" t="s">
        <v>3473</v>
      </c>
      <c r="D1944" s="293" t="s">
        <v>3171</v>
      </c>
      <c r="E1944" s="55" t="s">
        <v>3173</v>
      </c>
      <c r="F1944" s="113"/>
      <c r="G1944" s="113">
        <v>20</v>
      </c>
      <c r="H1944" s="88"/>
    </row>
    <row r="1945" spans="1:8" ht="15.75" customHeight="1">
      <c r="B1945" s="1094"/>
      <c r="C1945" s="55" t="s">
        <v>2348</v>
      </c>
      <c r="D1945" s="44">
        <v>3</v>
      </c>
      <c r="E1945" s="55" t="s">
        <v>803</v>
      </c>
      <c r="F1945" s="113">
        <f>Kabja100</f>
        <v>26</v>
      </c>
      <c r="G1945" s="113">
        <f>FLOOR(D1945*F1945,0.01)</f>
        <v>78</v>
      </c>
      <c r="H1945" s="88"/>
    </row>
    <row r="1946" spans="1:8" ht="15.75" customHeight="1">
      <c r="B1946" s="1094"/>
      <c r="C1946" s="55" t="s">
        <v>2373</v>
      </c>
      <c r="D1946" s="44">
        <v>2</v>
      </c>
      <c r="E1946" s="55" t="s">
        <v>803</v>
      </c>
      <c r="F1946" s="113">
        <f>cheskini150</f>
        <v>59</v>
      </c>
      <c r="G1946" s="113">
        <f>FLOOR(D1946*F1946,0.01)</f>
        <v>118</v>
      </c>
      <c r="H1946" s="88"/>
    </row>
    <row r="1947" spans="1:8" ht="15.75" customHeight="1">
      <c r="B1947" s="1094"/>
      <c r="C1947" s="24" t="s">
        <v>429</v>
      </c>
      <c r="D1947" s="44">
        <v>1</v>
      </c>
      <c r="E1947" s="55" t="s">
        <v>803</v>
      </c>
      <c r="F1947" s="113">
        <f>moluck</f>
        <v>525</v>
      </c>
      <c r="G1947" s="113">
        <f>FLOOR(D1947*F1947,0.01)</f>
        <v>525</v>
      </c>
      <c r="H1947" s="88"/>
    </row>
    <row r="1948" spans="1:8" ht="15.75" customHeight="1">
      <c r="B1948" s="1073"/>
      <c r="C1948" s="58" t="s">
        <v>2179</v>
      </c>
      <c r="D1948" s="61" t="s">
        <v>3171</v>
      </c>
      <c r="E1948" s="58" t="s">
        <v>3173</v>
      </c>
      <c r="F1948" s="65"/>
      <c r="G1948" s="65">
        <v>45</v>
      </c>
      <c r="H1948" s="127">
        <f>SUM(G1942:G1948)</f>
        <v>3327.44</v>
      </c>
    </row>
    <row r="1949" spans="1:8" ht="15.75" customHeight="1">
      <c r="F1949" s="42" t="s">
        <v>1708</v>
      </c>
      <c r="G1949" s="42"/>
      <c r="H1949" s="65">
        <f>SUM(H1941:H1948)</f>
        <v>4233.0600000000004</v>
      </c>
    </row>
    <row r="1950" spans="1:8" ht="15.75">
      <c r="B1950" s="3" t="s">
        <v>1710</v>
      </c>
      <c r="F1950" s="42" t="s">
        <v>1689</v>
      </c>
      <c r="G1950" s="42"/>
      <c r="H1950" s="103">
        <f>FLOOR(H1949*0.15,0.01)</f>
        <v>634.95000000000005</v>
      </c>
    </row>
    <row r="1951" spans="1:8" ht="15.75">
      <c r="A1951"/>
      <c r="B1951" s="147">
        <f>+H1951</f>
        <v>4868.01</v>
      </c>
      <c r="C1951" s="28" t="s">
        <v>3384</v>
      </c>
      <c r="D1951" s="103">
        <f>INT(B1951/B1952*100)/100</f>
        <v>4868.01</v>
      </c>
      <c r="E1951" s="1" t="s">
        <v>3385</v>
      </c>
      <c r="F1951" s="42" t="s">
        <v>1711</v>
      </c>
      <c r="G1951" s="42"/>
      <c r="H1951" s="103">
        <f>SUM(H1949:H1950)</f>
        <v>4868.01</v>
      </c>
    </row>
    <row r="1952" spans="1:8" ht="16.5">
      <c r="B1952" s="149">
        <v>1</v>
      </c>
      <c r="H1952" s="19"/>
    </row>
    <row r="1953" spans="1:8" ht="16.5">
      <c r="B1953" s="149"/>
      <c r="H1953" s="19"/>
    </row>
    <row r="1954" spans="1:8" ht="16.5">
      <c r="B1954" s="149"/>
      <c r="H1954" s="19"/>
    </row>
    <row r="1955" spans="1:8" ht="16.5">
      <c r="B1955" s="149"/>
      <c r="H1955" s="19"/>
    </row>
    <row r="1956" spans="1:8" ht="16.5">
      <c r="B1956" s="149"/>
      <c r="H1956" s="19"/>
    </row>
    <row r="1957" spans="1:8" ht="16.5">
      <c r="B1957" s="149"/>
      <c r="H1957" s="19"/>
    </row>
    <row r="1958" spans="1:8" ht="29.25" customHeight="1">
      <c r="A1958" s="282">
        <f>A1937+1</f>
        <v>114</v>
      </c>
      <c r="B1958" s="1118" t="s">
        <v>197</v>
      </c>
      <c r="C1958" s="1131"/>
      <c r="D1958" s="1131"/>
      <c r="E1958" s="1131"/>
      <c r="F1958" s="1131"/>
      <c r="G1958" s="1131"/>
      <c r="H1958" s="1131"/>
    </row>
    <row r="1959" spans="1:8">
      <c r="A1959" s="869" t="s">
        <v>4078</v>
      </c>
      <c r="B1959" s="1100" t="s">
        <v>222</v>
      </c>
      <c r="C1959" s="1083"/>
      <c r="D1959" s="1083"/>
      <c r="E1959" s="1083"/>
      <c r="F1959" s="1083"/>
      <c r="G1959" s="1083"/>
      <c r="H1959" s="1083"/>
    </row>
    <row r="1960" spans="1:8" ht="31.5">
      <c r="B1960" s="70" t="s">
        <v>3340</v>
      </c>
      <c r="C1960" s="70" t="s">
        <v>3341</v>
      </c>
      <c r="D1960" s="70" t="s">
        <v>3342</v>
      </c>
      <c r="E1960" s="70" t="s">
        <v>3343</v>
      </c>
      <c r="F1960" s="70" t="s">
        <v>3344</v>
      </c>
      <c r="G1960" s="70" t="s">
        <v>3345</v>
      </c>
      <c r="H1960" s="70" t="s">
        <v>1704</v>
      </c>
    </row>
    <row r="1961" spans="1:8" ht="17.25">
      <c r="B1961" s="1067" t="s">
        <v>1705</v>
      </c>
      <c r="C1961" s="60" t="s">
        <v>610</v>
      </c>
      <c r="D1961" s="258">
        <v>1.61</v>
      </c>
      <c r="E1961" s="57" t="s">
        <v>1707</v>
      </c>
      <c r="F1961" s="111">
        <f>mason</f>
        <v>525</v>
      </c>
      <c r="G1961" s="111">
        <f>FLOOR(D1961*F1961,0.01)</f>
        <v>845.25</v>
      </c>
      <c r="H1961" s="112"/>
    </row>
    <row r="1962" spans="1:8" ht="17.25">
      <c r="A1962" s="39"/>
      <c r="B1962" s="1070"/>
      <c r="C1962" s="58" t="s">
        <v>1647</v>
      </c>
      <c r="D1962" s="51">
        <v>0.161</v>
      </c>
      <c r="E1962" s="58" t="s">
        <v>1707</v>
      </c>
      <c r="F1962" s="113">
        <f>'update Rate'!F4</f>
        <v>375</v>
      </c>
      <c r="G1962" s="65">
        <f>FLOOR(D1962*F1962,0.01)</f>
        <v>60.370000000000005</v>
      </c>
      <c r="H1962" s="125">
        <f>SUM(G1961+G1962)</f>
        <v>905.62</v>
      </c>
    </row>
    <row r="1963" spans="1:8" ht="33">
      <c r="B1963" s="1069" t="s">
        <v>2330</v>
      </c>
      <c r="C1963" s="169" t="s">
        <v>198</v>
      </c>
      <c r="D1963" s="210">
        <v>1</v>
      </c>
      <c r="E1963" s="57" t="s">
        <v>3170</v>
      </c>
      <c r="F1963" s="114">
        <f>'update Rate'!F327</f>
        <v>1721.6</v>
      </c>
      <c r="G1963" s="114">
        <f>FLOOR(D1963*F1963,0.01)</f>
        <v>1721.6000000000001</v>
      </c>
      <c r="H1963" s="86"/>
    </row>
    <row r="1964" spans="1:8" ht="17.25">
      <c r="B1964" s="1094"/>
      <c r="C1964" s="55" t="s">
        <v>1335</v>
      </c>
      <c r="D1964" s="54">
        <v>7.4340000000000002</v>
      </c>
      <c r="E1964" s="55" t="s">
        <v>2938</v>
      </c>
      <c r="F1964" s="113">
        <f>'update Rate'!F133</f>
        <v>39.36</v>
      </c>
      <c r="G1964" s="113">
        <f>FLOOR(D1964*F1964,0.01)</f>
        <v>292.60000000000002</v>
      </c>
      <c r="H1964" s="88"/>
    </row>
    <row r="1965" spans="1:8" ht="15.75">
      <c r="A1965" s="39"/>
      <c r="B1965" s="1094"/>
      <c r="C1965" s="55" t="s">
        <v>3473</v>
      </c>
      <c r="D1965" s="293" t="s">
        <v>3171</v>
      </c>
      <c r="E1965" s="55" t="s">
        <v>3173</v>
      </c>
      <c r="F1965" s="113"/>
      <c r="G1965" s="113">
        <v>20</v>
      </c>
      <c r="H1965" s="88"/>
    </row>
    <row r="1966" spans="1:8" ht="20.100000000000001" customHeight="1">
      <c r="B1966" s="1094"/>
      <c r="C1966" s="55" t="s">
        <v>2348</v>
      </c>
      <c r="D1966" s="44">
        <v>3</v>
      </c>
      <c r="E1966" s="55" t="s">
        <v>803</v>
      </c>
      <c r="F1966" s="113">
        <f>Kabja100</f>
        <v>26</v>
      </c>
      <c r="G1966" s="113">
        <f>FLOOR(D1966*F1966,0.01)</f>
        <v>78</v>
      </c>
      <c r="H1966" s="88"/>
    </row>
    <row r="1967" spans="1:8" ht="20.100000000000001" customHeight="1">
      <c r="B1967" s="1094"/>
      <c r="C1967" s="55" t="s">
        <v>2373</v>
      </c>
      <c r="D1967" s="44">
        <v>2</v>
      </c>
      <c r="E1967" s="55" t="s">
        <v>803</v>
      </c>
      <c r="F1967" s="113">
        <f>cheskini150</f>
        <v>59</v>
      </c>
      <c r="G1967" s="113">
        <f>FLOOR(D1967*F1967,0.01)</f>
        <v>118</v>
      </c>
      <c r="H1967" s="88"/>
    </row>
    <row r="1968" spans="1:8" ht="20.100000000000001" customHeight="1">
      <c r="B1968" s="1094"/>
      <c r="C1968" s="24" t="s">
        <v>429</v>
      </c>
      <c r="D1968" s="44">
        <v>1</v>
      </c>
      <c r="E1968" s="55" t="s">
        <v>803</v>
      </c>
      <c r="F1968" s="113">
        <f>moluck</f>
        <v>525</v>
      </c>
      <c r="G1968" s="113">
        <f>FLOOR(D1968*F1968,0.01)</f>
        <v>525</v>
      </c>
      <c r="H1968" s="88"/>
    </row>
    <row r="1969" spans="1:8" ht="20.100000000000001" customHeight="1">
      <c r="B1969" s="1073"/>
      <c r="C1969" s="58" t="s">
        <v>2179</v>
      </c>
      <c r="D1969" s="61" t="s">
        <v>3171</v>
      </c>
      <c r="E1969" s="58" t="s">
        <v>3173</v>
      </c>
      <c r="F1969" s="65"/>
      <c r="G1969" s="65">
        <v>45</v>
      </c>
      <c r="H1969" s="127">
        <f>SUM(G1963:G1969)</f>
        <v>2800.2000000000003</v>
      </c>
    </row>
    <row r="1970" spans="1:8" ht="15.75">
      <c r="F1970" s="42" t="s">
        <v>1708</v>
      </c>
      <c r="G1970" s="42"/>
      <c r="H1970" s="65">
        <f>SUM(H1962:H1969)</f>
        <v>3705.82</v>
      </c>
    </row>
    <row r="1971" spans="1:8" ht="20.100000000000001" customHeight="1">
      <c r="B1971" s="3" t="s">
        <v>1710</v>
      </c>
      <c r="F1971" s="42" t="s">
        <v>1689</v>
      </c>
      <c r="G1971" s="42"/>
      <c r="H1971" s="103">
        <f>FLOOR(H1970*0.15,0.01)</f>
        <v>555.87</v>
      </c>
    </row>
    <row r="1972" spans="1:8" ht="20.100000000000001" customHeight="1">
      <c r="A1972"/>
      <c r="B1972" s="147">
        <f>+H1972</f>
        <v>4261.6900000000005</v>
      </c>
      <c r="C1972" s="28" t="s">
        <v>3384</v>
      </c>
      <c r="D1972" s="103">
        <f>INT(B1972/B1973*100)/100</f>
        <v>4261.6899999999996</v>
      </c>
      <c r="E1972" s="1" t="s">
        <v>3385</v>
      </c>
      <c r="F1972" s="42" t="s">
        <v>1711</v>
      </c>
      <c r="G1972" s="42"/>
      <c r="H1972" s="103">
        <f>SUM(H1970:H1971)</f>
        <v>4261.6900000000005</v>
      </c>
    </row>
    <row r="1973" spans="1:8" ht="16.5">
      <c r="B1973" s="149">
        <v>1</v>
      </c>
      <c r="H1973" s="19"/>
    </row>
    <row r="1974" spans="1:8" ht="16.5">
      <c r="B1974" s="149"/>
      <c r="H1974" s="19"/>
    </row>
    <row r="1975" spans="1:8" ht="32.25" customHeight="1">
      <c r="A1975" s="282">
        <f>A1958+1</f>
        <v>115</v>
      </c>
      <c r="B1975" s="1118" t="s">
        <v>184</v>
      </c>
      <c r="C1975" s="1131"/>
      <c r="D1975" s="1131"/>
      <c r="E1975" s="1131"/>
      <c r="F1975" s="1131"/>
      <c r="G1975" s="1131"/>
      <c r="H1975" s="1131"/>
    </row>
    <row r="1976" spans="1:8">
      <c r="A1976" s="869" t="s">
        <v>4079</v>
      </c>
      <c r="B1976" s="1100" t="s">
        <v>222</v>
      </c>
      <c r="C1976" s="1083"/>
      <c r="D1976" s="1083"/>
      <c r="E1976" s="1083"/>
      <c r="F1976" s="1083"/>
      <c r="G1976" s="1083"/>
      <c r="H1976" s="1083"/>
    </row>
    <row r="1977" spans="1:8" ht="31.5">
      <c r="B1977" s="70" t="s">
        <v>3340</v>
      </c>
      <c r="C1977" s="70" t="s">
        <v>3341</v>
      </c>
      <c r="D1977" s="70" t="s">
        <v>3342</v>
      </c>
      <c r="E1977" s="70" t="s">
        <v>3343</v>
      </c>
      <c r="F1977" s="70" t="s">
        <v>3344</v>
      </c>
      <c r="G1977" s="70" t="s">
        <v>3345</v>
      </c>
      <c r="H1977" s="70" t="s">
        <v>1704</v>
      </c>
    </row>
    <row r="1978" spans="1:8" ht="17.25">
      <c r="B1978" s="1067" t="s">
        <v>1705</v>
      </c>
      <c r="C1978" s="60" t="s">
        <v>610</v>
      </c>
      <c r="D1978" s="258">
        <v>1.61</v>
      </c>
      <c r="E1978" s="57" t="s">
        <v>1707</v>
      </c>
      <c r="F1978" s="111">
        <f>mason</f>
        <v>525</v>
      </c>
      <c r="G1978" s="111">
        <f>FLOOR(D1978*F1978,0.01)</f>
        <v>845.25</v>
      </c>
      <c r="H1978" s="112"/>
    </row>
    <row r="1979" spans="1:8" ht="15.75" customHeight="1">
      <c r="A1979" s="39"/>
      <c r="B1979" s="1070"/>
      <c r="C1979" s="58" t="s">
        <v>1647</v>
      </c>
      <c r="D1979" s="51">
        <v>0.161</v>
      </c>
      <c r="E1979" s="58" t="s">
        <v>1707</v>
      </c>
      <c r="F1979" s="113">
        <f>'update Rate'!F4</f>
        <v>375</v>
      </c>
      <c r="G1979" s="65">
        <f>FLOOR(D1979*F1979,0.01)</f>
        <v>60.370000000000005</v>
      </c>
      <c r="H1979" s="125">
        <f>SUM(G1978+G1979)</f>
        <v>905.62</v>
      </c>
    </row>
    <row r="1980" spans="1:8" ht="17.25" customHeight="1">
      <c r="B1980" s="1069" t="s">
        <v>2330</v>
      </c>
      <c r="C1980" s="169" t="s">
        <v>198</v>
      </c>
      <c r="D1980" s="210">
        <v>1</v>
      </c>
      <c r="E1980" s="57" t="s">
        <v>3170</v>
      </c>
      <c r="F1980" s="114">
        <f>'update Rate'!F328</f>
        <v>2313.4</v>
      </c>
      <c r="G1980" s="114">
        <f>FLOOR(D1980*F1980,0.01)</f>
        <v>2313.4</v>
      </c>
      <c r="H1980" s="86"/>
    </row>
    <row r="1981" spans="1:8" ht="17.25">
      <c r="B1981" s="1094"/>
      <c r="C1981" s="55" t="s">
        <v>1335</v>
      </c>
      <c r="D1981" s="54">
        <v>7.4340000000000002</v>
      </c>
      <c r="E1981" s="55" t="s">
        <v>2938</v>
      </c>
      <c r="F1981" s="113">
        <f>'update Rate'!F133</f>
        <v>39.36</v>
      </c>
      <c r="G1981" s="113">
        <f>FLOOR(D1981*F1981,0.01)</f>
        <v>292.60000000000002</v>
      </c>
      <c r="H1981" s="88"/>
    </row>
    <row r="1982" spans="1:8" ht="15.75">
      <c r="A1982" s="39"/>
      <c r="B1982" s="1094"/>
      <c r="C1982" s="55" t="s">
        <v>3473</v>
      </c>
      <c r="D1982" s="293" t="s">
        <v>89</v>
      </c>
      <c r="E1982" s="55" t="s">
        <v>3173</v>
      </c>
      <c r="F1982" s="113"/>
      <c r="G1982" s="113">
        <v>20</v>
      </c>
      <c r="H1982" s="88"/>
    </row>
    <row r="1983" spans="1:8" ht="17.25">
      <c r="B1983" s="1094"/>
      <c r="C1983" s="55" t="s">
        <v>2348</v>
      </c>
      <c r="D1983" s="44">
        <v>3</v>
      </c>
      <c r="E1983" s="55" t="s">
        <v>803</v>
      </c>
      <c r="F1983" s="113">
        <f>Kabja100</f>
        <v>26</v>
      </c>
      <c r="G1983" s="113">
        <f>FLOOR(D1983*F1983,0.01)</f>
        <v>78</v>
      </c>
      <c r="H1983" s="88"/>
    </row>
    <row r="1984" spans="1:8" ht="17.25">
      <c r="B1984" s="1094"/>
      <c r="C1984" s="55" t="s">
        <v>2373</v>
      </c>
      <c r="D1984" s="44">
        <v>2</v>
      </c>
      <c r="E1984" s="55" t="s">
        <v>803</v>
      </c>
      <c r="F1984" s="113">
        <f>cheskini150</f>
        <v>59</v>
      </c>
      <c r="G1984" s="113">
        <f>FLOOR(D1984*F1984,0.01)</f>
        <v>118</v>
      </c>
      <c r="H1984" s="88"/>
    </row>
    <row r="1985" spans="1:8" ht="28.5">
      <c r="B1985" s="1094"/>
      <c r="C1985" s="24" t="s">
        <v>429</v>
      </c>
      <c r="D1985" s="44">
        <v>1</v>
      </c>
      <c r="E1985" s="55" t="s">
        <v>803</v>
      </c>
      <c r="F1985" s="113">
        <f>moluck</f>
        <v>525</v>
      </c>
      <c r="G1985" s="113">
        <f>FLOOR(D1985*F1985,0.01)</f>
        <v>525</v>
      </c>
      <c r="H1985" s="88"/>
    </row>
    <row r="1986" spans="1:8" ht="15.95" customHeight="1">
      <c r="B1986" s="1073"/>
      <c r="C1986" s="58" t="s">
        <v>2179</v>
      </c>
      <c r="D1986" s="61" t="s">
        <v>89</v>
      </c>
      <c r="E1986" s="58" t="s">
        <v>3173</v>
      </c>
      <c r="F1986" s="65"/>
      <c r="G1986" s="65">
        <v>45</v>
      </c>
      <c r="H1986" s="127">
        <f>SUM(G1980:G1986)</f>
        <v>3392</v>
      </c>
    </row>
    <row r="1987" spans="1:8" ht="15.95" customHeight="1">
      <c r="F1987" s="42" t="s">
        <v>1708</v>
      </c>
      <c r="G1987" s="42"/>
      <c r="H1987" s="65">
        <f>SUM(H1979:H1986)</f>
        <v>4297.62</v>
      </c>
    </row>
    <row r="1988" spans="1:8" ht="15.75">
      <c r="B1988" s="3" t="s">
        <v>1710</v>
      </c>
      <c r="F1988" s="42" t="s">
        <v>1689</v>
      </c>
      <c r="G1988" s="42"/>
      <c r="H1988" s="103">
        <f>FLOOR(H1987*0.15,0.01)</f>
        <v>644.64</v>
      </c>
    </row>
    <row r="1989" spans="1:8" ht="15.95" customHeight="1">
      <c r="A1989"/>
      <c r="B1989" s="147">
        <f>+H1989</f>
        <v>4942.26</v>
      </c>
      <c r="C1989" s="28" t="s">
        <v>3384</v>
      </c>
      <c r="D1989" s="103">
        <f>INT(B1989/B1990*100)/100</f>
        <v>4942.26</v>
      </c>
      <c r="E1989" s="1" t="s">
        <v>3385</v>
      </c>
      <c r="F1989" s="42" t="s">
        <v>1711</v>
      </c>
      <c r="G1989" s="42"/>
      <c r="H1989" s="103">
        <f>SUM(H1987:H1988)</f>
        <v>4942.26</v>
      </c>
    </row>
    <row r="1990" spans="1:8" ht="15.95" customHeight="1">
      <c r="B1990" s="149">
        <v>1</v>
      </c>
      <c r="H1990" s="19"/>
    </row>
    <row r="1991" spans="1:8" ht="15.95" customHeight="1">
      <c r="B1991" s="149"/>
      <c r="H1991" s="19"/>
    </row>
    <row r="1992" spans="1:8" ht="15.95" customHeight="1">
      <c r="B1992" s="149"/>
      <c r="H1992" s="19"/>
    </row>
    <row r="1993" spans="1:8" ht="15.95" customHeight="1">
      <c r="B1993" s="149"/>
      <c r="H1993" s="19"/>
    </row>
    <row r="1994" spans="1:8" ht="15.95" customHeight="1">
      <c r="B1994" s="149"/>
      <c r="H1994" s="19"/>
    </row>
    <row r="1995" spans="1:8" ht="15.95" customHeight="1">
      <c r="A1995" s="282">
        <f>A1975+1</f>
        <v>116</v>
      </c>
      <c r="B1995" s="1076" t="s">
        <v>129</v>
      </c>
      <c r="C1995" s="1089"/>
      <c r="D1995" s="1089"/>
      <c r="E1995" s="1089"/>
      <c r="F1995" s="1089"/>
      <c r="G1995" s="1089"/>
      <c r="H1995" s="1089"/>
    </row>
    <row r="1996" spans="1:8" ht="15.95" customHeight="1">
      <c r="A1996" s="11" t="s">
        <v>616</v>
      </c>
      <c r="B1996" s="1076" t="s">
        <v>2897</v>
      </c>
      <c r="C1996" s="1089"/>
      <c r="D1996" s="1089"/>
      <c r="E1996" s="1089"/>
      <c r="F1996" s="1089"/>
      <c r="G1996" s="1089"/>
      <c r="H1996" s="1089"/>
    </row>
    <row r="1997" spans="1:8" ht="15.95" customHeight="1">
      <c r="A1997" s="869" t="s">
        <v>4080</v>
      </c>
      <c r="B1997" s="1092" t="s">
        <v>2898</v>
      </c>
      <c r="C1997" s="1092"/>
      <c r="D1997" s="1092"/>
      <c r="E1997" s="1092"/>
      <c r="F1997" s="1092"/>
      <c r="G1997" s="1092"/>
      <c r="H1997" s="1092"/>
    </row>
    <row r="1998" spans="1:8" ht="31.5">
      <c r="B1998" s="70" t="s">
        <v>3340</v>
      </c>
      <c r="C1998" s="70" t="s">
        <v>3341</v>
      </c>
      <c r="D1998" s="70" t="s">
        <v>3342</v>
      </c>
      <c r="E1998" s="70" t="s">
        <v>3343</v>
      </c>
      <c r="F1998" s="70" t="s">
        <v>3344</v>
      </c>
      <c r="G1998" s="70" t="s">
        <v>3345</v>
      </c>
      <c r="H1998" s="70" t="s">
        <v>1704</v>
      </c>
    </row>
    <row r="1999" spans="1:8" ht="17.25">
      <c r="B1999" s="60" t="s">
        <v>1705</v>
      </c>
      <c r="C1999" s="60" t="s">
        <v>2899</v>
      </c>
      <c r="D1999" s="43">
        <v>0.06</v>
      </c>
      <c r="E1999" s="57" t="s">
        <v>1707</v>
      </c>
      <c r="F1999" s="111">
        <f>mason</f>
        <v>525</v>
      </c>
      <c r="G1999" s="111">
        <f>FLOOR(D1999*F1999,0.01)</f>
        <v>31.5</v>
      </c>
      <c r="H1999" s="111"/>
    </row>
    <row r="2000" spans="1:8" ht="17.25">
      <c r="B2000" s="64"/>
      <c r="C2000" s="55" t="s">
        <v>2176</v>
      </c>
      <c r="D2000" s="54">
        <v>6.0000000000000001E-3</v>
      </c>
      <c r="E2000" s="55" t="s">
        <v>1707</v>
      </c>
      <c r="F2000" s="65">
        <f>'update Rate'!F4</f>
        <v>375</v>
      </c>
      <c r="G2000" s="126">
        <f>FLOOR(D2000*F2000,0.01)</f>
        <v>2.25</v>
      </c>
      <c r="H2000" s="126">
        <f>SUM(G1999:G2000)</f>
        <v>33.75</v>
      </c>
    </row>
    <row r="2001" spans="1:8" ht="17.25">
      <c r="B2001" s="1107" t="s">
        <v>2330</v>
      </c>
      <c r="C2001" s="213" t="s">
        <v>2967</v>
      </c>
      <c r="D2001" s="43">
        <v>1.05</v>
      </c>
      <c r="E2001" s="57" t="s">
        <v>3170</v>
      </c>
      <c r="F2001" s="167">
        <f>'update Rate'!F78</f>
        <v>131.13</v>
      </c>
      <c r="G2001" s="167">
        <f>FLOOR(D2001*F2001,0.01)</f>
        <v>137.68</v>
      </c>
      <c r="H2001" s="214"/>
    </row>
    <row r="2002" spans="1:8" ht="16.5">
      <c r="B2002" s="1159"/>
      <c r="C2002" s="62" t="s">
        <v>435</v>
      </c>
      <c r="D2002" s="44" t="s">
        <v>436</v>
      </c>
      <c r="E2002" s="63" t="s">
        <v>3171</v>
      </c>
      <c r="F2002" s="44" t="s">
        <v>436</v>
      </c>
      <c r="G2002" s="168">
        <v>65</v>
      </c>
      <c r="H2002" s="214"/>
    </row>
    <row r="2003" spans="1:8" ht="15.95" customHeight="1">
      <c r="B2003" s="1109"/>
      <c r="C2003" s="215" t="s">
        <v>2272</v>
      </c>
      <c r="D2003" s="45" t="s">
        <v>436</v>
      </c>
      <c r="E2003" s="216" t="s">
        <v>3171</v>
      </c>
      <c r="F2003" s="45" t="s">
        <v>436</v>
      </c>
      <c r="G2003" s="170">
        <v>15</v>
      </c>
      <c r="H2003" s="65">
        <f>SUM(G2001:G2003)</f>
        <v>217.68</v>
      </c>
    </row>
    <row r="2004" spans="1:8" ht="15.75">
      <c r="F2004" s="42" t="s">
        <v>1708</v>
      </c>
      <c r="G2004" s="42"/>
      <c r="H2004" s="103">
        <f>SUM(H2003,H2000)</f>
        <v>251.43</v>
      </c>
    </row>
    <row r="2005" spans="1:8" ht="15.75">
      <c r="B2005" s="33" t="s">
        <v>1710</v>
      </c>
      <c r="F2005" s="42" t="s">
        <v>1689</v>
      </c>
      <c r="G2005" s="42"/>
      <c r="H2005" s="103">
        <f>FLOOR(H2004*0.15,0.01)</f>
        <v>37.71</v>
      </c>
    </row>
    <row r="2006" spans="1:8" ht="15.95" customHeight="1">
      <c r="A2006" s="28" t="s">
        <v>3384</v>
      </c>
      <c r="B2006" s="103">
        <f>+H2006</f>
        <v>289.14</v>
      </c>
      <c r="C2006" s="1" t="s">
        <v>3385</v>
      </c>
      <c r="D2006" s="209"/>
      <c r="F2006" s="42" t="s">
        <v>1711</v>
      </c>
      <c r="G2006" s="42"/>
      <c r="H2006" s="103">
        <f>SUM(H2004:H2005)</f>
        <v>289.14</v>
      </c>
    </row>
    <row r="2007" spans="1:8" ht="15.95" customHeight="1">
      <c r="A2007" s="28"/>
      <c r="D2007" s="151"/>
      <c r="F2007" s="42"/>
      <c r="G2007" s="106"/>
      <c r="H2007" s="151"/>
    </row>
    <row r="2008" spans="1:8" ht="20.100000000000001" customHeight="1">
      <c r="A2008" s="28"/>
      <c r="B2008" s="151"/>
      <c r="F2008" s="42"/>
      <c r="G2008" s="106"/>
      <c r="H2008" s="151"/>
    </row>
    <row r="2009" spans="1:8" ht="16.5">
      <c r="A2009" s="28"/>
      <c r="B2009" s="151"/>
      <c r="F2009" s="42"/>
      <c r="G2009" s="106"/>
      <c r="H2009" s="151"/>
    </row>
    <row r="2010" spans="1:8" ht="19.5">
      <c r="A2010" s="282">
        <f>A1995+1</f>
        <v>117</v>
      </c>
      <c r="B2010" s="1089" t="s">
        <v>128</v>
      </c>
      <c r="C2010" s="1089"/>
      <c r="D2010" s="1089"/>
      <c r="E2010" s="1089"/>
      <c r="F2010" s="1089"/>
      <c r="G2010" s="1089"/>
      <c r="H2010" s="1089"/>
    </row>
    <row r="2011" spans="1:8" ht="15.95" customHeight="1">
      <c r="A2011" s="11" t="s">
        <v>616</v>
      </c>
      <c r="B2011" s="1089" t="s">
        <v>2897</v>
      </c>
      <c r="C2011" s="1089"/>
      <c r="D2011" s="1089"/>
      <c r="E2011" s="1089"/>
      <c r="F2011" s="1089"/>
      <c r="G2011" s="1089"/>
      <c r="H2011" s="1089"/>
    </row>
    <row r="2012" spans="1:8" ht="16.5" customHeight="1">
      <c r="A2012" s="869" t="s">
        <v>4081</v>
      </c>
      <c r="B2012" s="1092" t="s">
        <v>2898</v>
      </c>
      <c r="C2012" s="1092"/>
      <c r="D2012" s="1092"/>
      <c r="E2012" s="1092"/>
      <c r="F2012" s="1092"/>
      <c r="G2012" s="1092"/>
      <c r="H2012" s="1092"/>
    </row>
    <row r="2013" spans="1:8" ht="31.5">
      <c r="B2013" s="70" t="s">
        <v>3340</v>
      </c>
      <c r="C2013" s="70" t="s">
        <v>3341</v>
      </c>
      <c r="D2013" s="70" t="s">
        <v>3342</v>
      </c>
      <c r="E2013" s="70" t="s">
        <v>3343</v>
      </c>
      <c r="F2013" s="70" t="s">
        <v>3344</v>
      </c>
      <c r="G2013" s="70" t="s">
        <v>3345</v>
      </c>
      <c r="H2013" s="70" t="s">
        <v>1704</v>
      </c>
    </row>
    <row r="2014" spans="1:8" ht="15.95" customHeight="1">
      <c r="B2014" s="60" t="s">
        <v>1705</v>
      </c>
      <c r="C2014" s="60" t="s">
        <v>2899</v>
      </c>
      <c r="D2014" s="43">
        <v>0.06</v>
      </c>
      <c r="E2014" s="57" t="s">
        <v>1707</v>
      </c>
      <c r="F2014" s="111">
        <f>mason</f>
        <v>525</v>
      </c>
      <c r="G2014" s="111">
        <f>FLOOR(D2014*F2014,0.01)</f>
        <v>31.5</v>
      </c>
      <c r="H2014" s="111"/>
    </row>
    <row r="2015" spans="1:8" ht="15.95" customHeight="1">
      <c r="B2015" s="64"/>
      <c r="C2015" s="55" t="s">
        <v>2176</v>
      </c>
      <c r="D2015" s="54">
        <v>6.0000000000000001E-3</v>
      </c>
      <c r="E2015" s="55" t="s">
        <v>1707</v>
      </c>
      <c r="F2015" s="65">
        <f>'update Rate'!F4</f>
        <v>375</v>
      </c>
      <c r="G2015" s="126">
        <f>FLOOR(D2015*F2015,0.01)</f>
        <v>2.25</v>
      </c>
      <c r="H2015" s="126">
        <f>SUM(G2014:G2015)</f>
        <v>33.75</v>
      </c>
    </row>
    <row r="2016" spans="1:8" ht="15.95" customHeight="1">
      <c r="B2016" s="1107" t="s">
        <v>2330</v>
      </c>
      <c r="C2016" s="213" t="s">
        <v>2966</v>
      </c>
      <c r="D2016" s="43">
        <v>1.05</v>
      </c>
      <c r="E2016" s="57" t="s">
        <v>3170</v>
      </c>
      <c r="F2016" s="167">
        <f>'update Rate'!F79</f>
        <v>645.6</v>
      </c>
      <c r="G2016" s="167">
        <f>FLOOR(D2016*F2016,0.01)</f>
        <v>677.88</v>
      </c>
      <c r="H2016" s="214"/>
    </row>
    <row r="2017" spans="1:8" ht="16.5">
      <c r="B2017" s="1159"/>
      <c r="C2017" s="62" t="s">
        <v>435</v>
      </c>
      <c r="D2017" s="44" t="s">
        <v>436</v>
      </c>
      <c r="E2017" s="63" t="s">
        <v>3171</v>
      </c>
      <c r="F2017" s="44" t="s">
        <v>436</v>
      </c>
      <c r="G2017" s="168">
        <v>65</v>
      </c>
      <c r="H2017" s="214"/>
    </row>
    <row r="2018" spans="1:8" ht="16.5">
      <c r="B2018" s="1109"/>
      <c r="C2018" s="215" t="s">
        <v>2272</v>
      </c>
      <c r="D2018" s="45" t="s">
        <v>436</v>
      </c>
      <c r="E2018" s="216" t="s">
        <v>3171</v>
      </c>
      <c r="F2018" s="45" t="s">
        <v>436</v>
      </c>
      <c r="G2018" s="170">
        <v>15</v>
      </c>
      <c r="H2018" s="65">
        <f>SUM(G2016:G2018)</f>
        <v>757.88</v>
      </c>
    </row>
    <row r="2019" spans="1:8" ht="15.75">
      <c r="F2019" s="42" t="s">
        <v>1708</v>
      </c>
      <c r="G2019" s="42"/>
      <c r="H2019" s="103">
        <f>SUM(H2018,H2015)</f>
        <v>791.63</v>
      </c>
    </row>
    <row r="2020" spans="1:8" ht="15.95" customHeight="1">
      <c r="B2020" s="33" t="s">
        <v>1710</v>
      </c>
      <c r="F2020" s="42" t="s">
        <v>1689</v>
      </c>
      <c r="G2020" s="42"/>
      <c r="H2020" s="103">
        <f>FLOOR(H2019*0.15,0.01)</f>
        <v>118.74000000000001</v>
      </c>
    </row>
    <row r="2021" spans="1:8" ht="15.95" customHeight="1">
      <c r="A2021" s="28" t="s">
        <v>3384</v>
      </c>
      <c r="B2021" s="103">
        <f>+H2021</f>
        <v>910.37</v>
      </c>
      <c r="C2021" s="1" t="s">
        <v>3385</v>
      </c>
      <c r="D2021" s="209"/>
      <c r="F2021" s="42" t="s">
        <v>1711</v>
      </c>
      <c r="G2021" s="42"/>
      <c r="H2021" s="103">
        <f>SUM(H2019:H2020)</f>
        <v>910.37</v>
      </c>
    </row>
    <row r="2022" spans="1:8" ht="15.95" customHeight="1">
      <c r="B2022" s="149"/>
      <c r="H2022" s="19"/>
    </row>
    <row r="2023" spans="1:8" ht="18" customHeight="1">
      <c r="A2023" s="781">
        <f>A2010+1</f>
        <v>118</v>
      </c>
      <c r="B2023" s="1160" t="s">
        <v>3081</v>
      </c>
      <c r="C2023" s="1161"/>
      <c r="D2023" s="1161"/>
      <c r="E2023" s="1161"/>
      <c r="F2023" s="1161"/>
      <c r="G2023" s="1161"/>
      <c r="H2023" s="1161"/>
    </row>
    <row r="2024" spans="1:8" ht="18" customHeight="1">
      <c r="A2024" s="663" t="s">
        <v>3313</v>
      </c>
      <c r="B2024" s="1160" t="s">
        <v>3079</v>
      </c>
      <c r="C2024" s="1161"/>
      <c r="D2024" s="1161"/>
      <c r="E2024" s="1161"/>
      <c r="F2024" s="1161"/>
      <c r="G2024" s="1161"/>
      <c r="H2024" s="1161"/>
    </row>
    <row r="2025" spans="1:8" ht="18" customHeight="1">
      <c r="A2025" s="869" t="s">
        <v>4082</v>
      </c>
      <c r="B2025" s="1066" t="s">
        <v>1594</v>
      </c>
      <c r="C2025" s="1066"/>
      <c r="D2025" s="1066"/>
      <c r="E2025" s="1066"/>
      <c r="F2025" s="1066"/>
      <c r="G2025" s="1066"/>
      <c r="H2025" s="1066"/>
    </row>
    <row r="2026" spans="1:8" ht="31.5">
      <c r="A2026" s="566"/>
      <c r="B2026" s="574" t="s">
        <v>3340</v>
      </c>
      <c r="C2026" s="574" t="s">
        <v>3341</v>
      </c>
      <c r="D2026" s="574" t="s">
        <v>3342</v>
      </c>
      <c r="E2026" s="574" t="s">
        <v>3343</v>
      </c>
      <c r="F2026" s="574" t="s">
        <v>3344</v>
      </c>
      <c r="G2026" s="574" t="s">
        <v>3345</v>
      </c>
      <c r="H2026" s="574" t="s">
        <v>1704</v>
      </c>
    </row>
    <row r="2027" spans="1:8" ht="18" customHeight="1">
      <c r="A2027" s="566"/>
      <c r="B2027" s="1187" t="s">
        <v>1705</v>
      </c>
      <c r="C2027" s="575" t="s">
        <v>610</v>
      </c>
      <c r="D2027" s="782">
        <v>1.25</v>
      </c>
      <c r="E2027" s="783" t="s">
        <v>1707</v>
      </c>
      <c r="F2027" s="578">
        <f>'update Rate'!F5</f>
        <v>525</v>
      </c>
      <c r="G2027" s="578">
        <f>FLOOR(D2027*F2027,0.01)</f>
        <v>656.25</v>
      </c>
      <c r="H2027" s="579"/>
    </row>
    <row r="2028" spans="1:8" ht="18" customHeight="1">
      <c r="A2028" s="566"/>
      <c r="B2028" s="1164"/>
      <c r="C2028" s="589" t="s">
        <v>1647</v>
      </c>
      <c r="D2028" s="787">
        <v>2</v>
      </c>
      <c r="E2028" s="589" t="s">
        <v>1707</v>
      </c>
      <c r="F2028" s="594">
        <f>'update Rate'!F4</f>
        <v>375</v>
      </c>
      <c r="G2028" s="594">
        <f>FLOOR(D2028*F2028,0.01)</f>
        <v>750</v>
      </c>
      <c r="H2028" s="784">
        <f>SUM(G2027+G2028)</f>
        <v>1406.25</v>
      </c>
    </row>
    <row r="2029" spans="1:8" ht="17.25">
      <c r="A2029" s="566"/>
      <c r="B2029" s="1162" t="s">
        <v>2330</v>
      </c>
      <c r="C2029" s="583" t="s">
        <v>1507</v>
      </c>
      <c r="D2029" s="582">
        <v>0.13</v>
      </c>
      <c r="E2029" s="583" t="s">
        <v>804</v>
      </c>
      <c r="F2029" s="585">
        <f>'update Rate'!F15</f>
        <v>14200</v>
      </c>
      <c r="G2029" s="585">
        <f>FLOOR(D2029*F2029,0.01)</f>
        <v>1846</v>
      </c>
      <c r="H2029" s="785"/>
    </row>
    <row r="2030" spans="1:8" ht="17.25">
      <c r="A2030" s="566"/>
      <c r="B2030" s="1163"/>
      <c r="C2030" s="583" t="s">
        <v>1508</v>
      </c>
      <c r="D2030" s="582">
        <v>0.18</v>
      </c>
      <c r="E2030" s="583" t="s">
        <v>2530</v>
      </c>
      <c r="F2030" s="585">
        <f>'update Rate'!F8</f>
        <v>1659.57</v>
      </c>
      <c r="G2030" s="585">
        <f>FLOOR(D2030*F2030,0.01)</f>
        <v>298.72000000000003</v>
      </c>
      <c r="H2030" s="786"/>
    </row>
    <row r="2031" spans="1:8" ht="17.25">
      <c r="A2031" s="566"/>
      <c r="B2031" s="1164"/>
      <c r="C2031" s="589" t="s">
        <v>1509</v>
      </c>
      <c r="D2031" s="787">
        <v>0.36</v>
      </c>
      <c r="E2031" s="589" t="s">
        <v>2530</v>
      </c>
      <c r="F2031" s="594">
        <f>'update Rate'!F35</f>
        <v>1730.19</v>
      </c>
      <c r="G2031" s="594">
        <f>FLOOR(D2031*F2031,0.01)</f>
        <v>622.86</v>
      </c>
      <c r="H2031" s="591">
        <f>SUM(G2029:G2031)</f>
        <v>2767.5800000000004</v>
      </c>
    </row>
    <row r="2032" spans="1:8" ht="18" customHeight="1">
      <c r="A2032" s="566"/>
      <c r="B2032" s="566"/>
      <c r="C2032" s="566"/>
      <c r="D2032" s="566"/>
      <c r="E2032" s="566"/>
      <c r="F2032" s="592" t="s">
        <v>1708</v>
      </c>
      <c r="G2032" s="592"/>
      <c r="H2032" s="594">
        <f>SUM(H2028:H2031)</f>
        <v>4173.83</v>
      </c>
    </row>
    <row r="2033" spans="1:8" ht="15.75">
      <c r="A2033" s="566"/>
      <c r="B2033" s="566" t="s">
        <v>1710</v>
      </c>
      <c r="C2033" s="566"/>
      <c r="D2033" s="566"/>
      <c r="E2033" s="566"/>
      <c r="F2033" s="592" t="s">
        <v>1689</v>
      </c>
      <c r="G2033" s="592"/>
      <c r="H2033" s="596">
        <f>FLOOR(H2032*0.15,0.01)</f>
        <v>626.07000000000005</v>
      </c>
    </row>
    <row r="2034" spans="1:8" ht="18" customHeight="1">
      <c r="A2034" s="509"/>
      <c r="B2034" s="788">
        <f>+H2034</f>
        <v>4799.8999999999996</v>
      </c>
      <c r="C2034" s="595" t="s">
        <v>3384</v>
      </c>
      <c r="D2034" s="596">
        <f>INT(B2034/B2035*100)/100</f>
        <v>479.99</v>
      </c>
      <c r="E2034" s="566" t="s">
        <v>3385</v>
      </c>
      <c r="F2034" s="592" t="s">
        <v>1711</v>
      </c>
      <c r="G2034" s="592"/>
      <c r="H2034" s="789">
        <f>SUM(H2032:H2033)</f>
        <v>4799.8999999999996</v>
      </c>
    </row>
    <row r="2035" spans="1:8" ht="18" customHeight="1">
      <c r="B2035" s="121">
        <v>10</v>
      </c>
    </row>
    <row r="2036" spans="1:8" ht="18" customHeight="1"/>
    <row r="2037" spans="1:8" ht="18" customHeight="1"/>
    <row r="2038" spans="1:8" ht="18" customHeight="1"/>
    <row r="2039" spans="1:8" ht="18" customHeight="1"/>
    <row r="2040" spans="1:8" ht="18" customHeight="1">
      <c r="A2040" s="282">
        <f>+A2023+1</f>
        <v>119</v>
      </c>
      <c r="B2040" s="1076" t="s">
        <v>3080</v>
      </c>
      <c r="C2040" s="1077"/>
      <c r="D2040" s="1077"/>
      <c r="E2040" s="1077"/>
      <c r="F2040" s="1077"/>
      <c r="G2040" s="1077"/>
      <c r="H2040" s="1077"/>
    </row>
    <row r="2041" spans="1:8" ht="18" customHeight="1">
      <c r="A2041" s="15" t="s">
        <v>3314</v>
      </c>
      <c r="B2041" s="1076" t="s">
        <v>3079</v>
      </c>
      <c r="C2041" s="1077"/>
      <c r="D2041" s="1077"/>
      <c r="E2041" s="1077"/>
      <c r="F2041" s="1077"/>
      <c r="G2041" s="1077"/>
      <c r="H2041" s="1077"/>
    </row>
    <row r="2042" spans="1:8" ht="18" customHeight="1">
      <c r="A2042" s="869" t="s">
        <v>4082</v>
      </c>
      <c r="B2042" s="1083" t="s">
        <v>1594</v>
      </c>
      <c r="C2042" s="1083"/>
      <c r="D2042" s="1083"/>
      <c r="E2042" s="1083"/>
      <c r="F2042" s="1083"/>
      <c r="G2042" s="1083"/>
      <c r="H2042" s="1083"/>
    </row>
    <row r="2043" spans="1:8" ht="31.5">
      <c r="B2043" s="70" t="s">
        <v>3340</v>
      </c>
      <c r="C2043" s="70" t="s">
        <v>3341</v>
      </c>
      <c r="D2043" s="70" t="s">
        <v>3342</v>
      </c>
      <c r="E2043" s="70" t="s">
        <v>3343</v>
      </c>
      <c r="F2043" s="70" t="s">
        <v>3344</v>
      </c>
      <c r="G2043" s="70" t="s">
        <v>3345</v>
      </c>
      <c r="H2043" s="70" t="s">
        <v>1704</v>
      </c>
    </row>
    <row r="2044" spans="1:8" ht="15.75" customHeight="1">
      <c r="B2044" s="1067" t="s">
        <v>1705</v>
      </c>
      <c r="C2044" s="60" t="s">
        <v>610</v>
      </c>
      <c r="D2044" s="43">
        <v>1.25</v>
      </c>
      <c r="E2044" s="57" t="s">
        <v>1707</v>
      </c>
      <c r="F2044" s="111">
        <f>'update Rate'!F5</f>
        <v>525</v>
      </c>
      <c r="G2044" s="111">
        <f>FLOOR(D2044*F2044,0.01)</f>
        <v>656.25</v>
      </c>
      <c r="H2044" s="112"/>
    </row>
    <row r="2045" spans="1:8" ht="17.25">
      <c r="B2045" s="1070"/>
      <c r="C2045" s="58" t="s">
        <v>1647</v>
      </c>
      <c r="D2045" s="45">
        <v>2.5</v>
      </c>
      <c r="E2045" s="58" t="s">
        <v>1707</v>
      </c>
      <c r="F2045" s="65">
        <f>'update Rate'!F4</f>
        <v>375</v>
      </c>
      <c r="G2045" s="65">
        <f>FLOOR(D2045*F2045,0.01)</f>
        <v>937.5</v>
      </c>
      <c r="H2045" s="125">
        <f>SUM(G2044+G2045)</f>
        <v>1593.75</v>
      </c>
    </row>
    <row r="2046" spans="1:8" ht="18" customHeight="1">
      <c r="B2046" s="1069" t="s">
        <v>2330</v>
      </c>
      <c r="C2046" s="55" t="s">
        <v>1507</v>
      </c>
      <c r="D2046" s="44">
        <v>0.17</v>
      </c>
      <c r="E2046" s="55" t="s">
        <v>804</v>
      </c>
      <c r="F2046" s="113">
        <f>'update Rate'!F15</f>
        <v>14200</v>
      </c>
      <c r="G2046" s="113">
        <f>FLOOR(D2046*F2046,0.01)</f>
        <v>2414</v>
      </c>
      <c r="H2046" s="86"/>
    </row>
    <row r="2047" spans="1:8" ht="17.25">
      <c r="B2047" s="1095"/>
      <c r="C2047" s="55" t="s">
        <v>1508</v>
      </c>
      <c r="D2047" s="44">
        <v>0.23</v>
      </c>
      <c r="E2047" s="55" t="s">
        <v>2530</v>
      </c>
      <c r="F2047" s="113">
        <f>'update Rate'!F8</f>
        <v>1659.57</v>
      </c>
      <c r="G2047" s="113">
        <f>FLOOR(D2047*F2047,0.01)</f>
        <v>381.7</v>
      </c>
      <c r="H2047" s="88"/>
    </row>
    <row r="2048" spans="1:8" ht="18" customHeight="1">
      <c r="B2048" s="1070"/>
      <c r="C2048" s="140" t="s">
        <v>4322</v>
      </c>
      <c r="D2048" s="45">
        <v>0.46</v>
      </c>
      <c r="E2048" s="58" t="s">
        <v>2530</v>
      </c>
      <c r="F2048" s="65">
        <f>'update Rate'!F34</f>
        <v>1906.74</v>
      </c>
      <c r="G2048" s="65">
        <f>FLOOR(D2048*F2048,0.01)</f>
        <v>877.1</v>
      </c>
      <c r="H2048" s="127">
        <f>SUM(G2046:G2048)</f>
        <v>3672.7999999999997</v>
      </c>
    </row>
    <row r="2049" spans="1:8" ht="18" customHeight="1">
      <c r="F2049" s="42" t="s">
        <v>1708</v>
      </c>
      <c r="G2049" s="42"/>
      <c r="H2049" s="65">
        <f>SUM(H2045:H2048)</f>
        <v>5266.5499999999993</v>
      </c>
    </row>
    <row r="2050" spans="1:8" ht="18" customHeight="1">
      <c r="B2050" s="1" t="s">
        <v>1710</v>
      </c>
      <c r="F2050" s="42" t="s">
        <v>1689</v>
      </c>
      <c r="G2050" s="42"/>
      <c r="H2050" s="103">
        <f>FLOOR(H2049*0.15,0.01)</f>
        <v>789.98</v>
      </c>
    </row>
    <row r="2051" spans="1:8" ht="18" customHeight="1">
      <c r="A2051"/>
      <c r="B2051" s="147">
        <f>+H2051</f>
        <v>6056.5299999999988</v>
      </c>
      <c r="C2051" s="28" t="s">
        <v>3384</v>
      </c>
      <c r="D2051" s="103">
        <f>INT(B2051/B2052*100)/100</f>
        <v>605.65</v>
      </c>
      <c r="E2051" s="1" t="s">
        <v>3385</v>
      </c>
      <c r="F2051" s="42" t="s">
        <v>1711</v>
      </c>
      <c r="G2051" s="42"/>
      <c r="H2051" s="103">
        <f>SUM(H2049:H2050)</f>
        <v>6056.5299999999988</v>
      </c>
    </row>
    <row r="2052" spans="1:8" ht="18" customHeight="1">
      <c r="A2052" s="28"/>
      <c r="B2052" s="121">
        <v>10</v>
      </c>
      <c r="F2052" s="42"/>
      <c r="G2052" s="42"/>
      <c r="H2052" s="90"/>
    </row>
    <row r="2053" spans="1:8" ht="18" customHeight="1">
      <c r="A2053" s="28"/>
      <c r="B2053" s="121"/>
      <c r="F2053" s="42"/>
      <c r="G2053" s="42"/>
      <c r="H2053" s="90"/>
    </row>
    <row r="2054" spans="1:8" ht="18" customHeight="1">
      <c r="A2054" s="28"/>
      <c r="B2054" s="121"/>
      <c r="F2054" s="42"/>
      <c r="G2054" s="42"/>
      <c r="H2054" s="90"/>
    </row>
    <row r="2055" spans="1:8" ht="18" customHeight="1">
      <c r="A2055" s="28"/>
      <c r="B2055" s="121"/>
      <c r="F2055" s="42"/>
      <c r="G2055" s="42"/>
      <c r="H2055" s="90"/>
    </row>
    <row r="2056" spans="1:8" ht="18" customHeight="1">
      <c r="A2056" s="28"/>
      <c r="B2056" s="121"/>
      <c r="F2056" s="42"/>
      <c r="G2056" s="42"/>
      <c r="H2056" s="90"/>
    </row>
    <row r="2057" spans="1:8" ht="18" customHeight="1">
      <c r="A2057" s="282">
        <f>+A2040+1</f>
        <v>120</v>
      </c>
      <c r="B2057" s="1076" t="s">
        <v>3083</v>
      </c>
      <c r="C2057" s="1077"/>
      <c r="D2057" s="1077"/>
      <c r="E2057" s="1077"/>
      <c r="F2057" s="1077"/>
      <c r="G2057" s="1077"/>
      <c r="H2057" s="1077"/>
    </row>
    <row r="2058" spans="1:8" ht="18" customHeight="1">
      <c r="A2058" s="15" t="s">
        <v>3082</v>
      </c>
      <c r="B2058" s="1076" t="s">
        <v>3079</v>
      </c>
      <c r="C2058" s="1077"/>
      <c r="D2058" s="1077"/>
      <c r="E2058" s="1077"/>
      <c r="F2058" s="1077"/>
      <c r="G2058" s="1077"/>
      <c r="H2058" s="1077"/>
    </row>
    <row r="2059" spans="1:8">
      <c r="A2059" s="869" t="s">
        <v>4082</v>
      </c>
      <c r="B2059" s="1083" t="s">
        <v>1594</v>
      </c>
      <c r="C2059" s="1083"/>
      <c r="D2059" s="1083"/>
      <c r="E2059" s="1083"/>
      <c r="F2059" s="1083"/>
      <c r="G2059" s="1083"/>
      <c r="H2059" s="1083"/>
    </row>
    <row r="2060" spans="1:8" ht="31.5">
      <c r="B2060" s="70" t="s">
        <v>3340</v>
      </c>
      <c r="C2060" s="70" t="s">
        <v>3341</v>
      </c>
      <c r="D2060" s="70" t="s">
        <v>3342</v>
      </c>
      <c r="E2060" s="70" t="s">
        <v>3343</v>
      </c>
      <c r="F2060" s="70" t="s">
        <v>3344</v>
      </c>
      <c r="G2060" s="70" t="s">
        <v>3345</v>
      </c>
      <c r="H2060" s="70" t="s">
        <v>1704</v>
      </c>
    </row>
    <row r="2061" spans="1:8" ht="17.25">
      <c r="B2061" s="1067" t="s">
        <v>1705</v>
      </c>
      <c r="C2061" s="60" t="s">
        <v>610</v>
      </c>
      <c r="D2061" s="43">
        <v>1.25</v>
      </c>
      <c r="E2061" s="57" t="s">
        <v>1707</v>
      </c>
      <c r="F2061" s="111">
        <f>'update Rate'!F5</f>
        <v>525</v>
      </c>
      <c r="G2061" s="111">
        <f>FLOOR(D2061*F2061,0.01)</f>
        <v>656.25</v>
      </c>
      <c r="H2061" s="112"/>
    </row>
    <row r="2062" spans="1:8" ht="17.25">
      <c r="B2062" s="1070"/>
      <c r="C2062" s="58" t="s">
        <v>1647</v>
      </c>
      <c r="D2062" s="45">
        <v>3</v>
      </c>
      <c r="E2062" s="58" t="s">
        <v>1707</v>
      </c>
      <c r="F2062" s="65">
        <f>'update Rate'!F4</f>
        <v>375</v>
      </c>
      <c r="G2062" s="65">
        <f>FLOOR(D2062*F2062,0.01)</f>
        <v>1125</v>
      </c>
      <c r="H2062" s="125">
        <f>SUM(G2061+G2062)</f>
        <v>1781.25</v>
      </c>
    </row>
    <row r="2063" spans="1:8" ht="17.25">
      <c r="B2063" s="1069" t="s">
        <v>2330</v>
      </c>
      <c r="C2063" s="55" t="s">
        <v>1507</v>
      </c>
      <c r="D2063" s="44">
        <v>0.26</v>
      </c>
      <c r="E2063" s="55" t="s">
        <v>804</v>
      </c>
      <c r="F2063" s="113">
        <f>'update Rate'!F15</f>
        <v>14200</v>
      </c>
      <c r="G2063" s="113">
        <f>FLOOR(D2063*F2063,0.01)</f>
        <v>3692</v>
      </c>
      <c r="H2063" s="86"/>
    </row>
    <row r="2064" spans="1:8" ht="17.25">
      <c r="B2064" s="1095"/>
      <c r="C2064" s="55" t="s">
        <v>1508</v>
      </c>
      <c r="D2064" s="44">
        <v>0.34</v>
      </c>
      <c r="E2064" s="55" t="s">
        <v>2530</v>
      </c>
      <c r="F2064" s="113">
        <f>'update Rate'!F8</f>
        <v>1659.57</v>
      </c>
      <c r="G2064" s="113">
        <f>FLOOR(D2064*F2064,0.01)</f>
        <v>564.25</v>
      </c>
      <c r="H2064" s="88"/>
    </row>
    <row r="2065" spans="1:8" ht="18" customHeight="1">
      <c r="B2065" s="1070"/>
      <c r="C2065" s="140" t="s">
        <v>4322</v>
      </c>
      <c r="D2065" s="45">
        <v>0.68</v>
      </c>
      <c r="E2065" s="58" t="s">
        <v>2530</v>
      </c>
      <c r="F2065" s="65">
        <f>'update Rate'!F34</f>
        <v>1906.74</v>
      </c>
      <c r="G2065" s="65">
        <f>FLOOR(D2065*F2065,0.01)</f>
        <v>1296.58</v>
      </c>
      <c r="H2065" s="127">
        <f>SUM(G2063:G2065)</f>
        <v>5552.83</v>
      </c>
    </row>
    <row r="2066" spans="1:8" ht="18" customHeight="1">
      <c r="F2066" s="42" t="s">
        <v>1708</v>
      </c>
      <c r="G2066" s="42"/>
      <c r="H2066" s="45">
        <f>SUM(H2062:H2065)</f>
        <v>7334.08</v>
      </c>
    </row>
    <row r="2067" spans="1:8" ht="15.75">
      <c r="B2067" s="1" t="s">
        <v>1710</v>
      </c>
      <c r="F2067" s="42" t="s">
        <v>1689</v>
      </c>
      <c r="G2067" s="42"/>
      <c r="H2067" s="103">
        <f>FLOOR(H2066*0.15,0.01)</f>
        <v>1100.1100000000001</v>
      </c>
    </row>
    <row r="2068" spans="1:8" ht="17.25">
      <c r="A2068"/>
      <c r="B2068" s="147">
        <f>+H2068</f>
        <v>8434.19</v>
      </c>
      <c r="C2068" s="28" t="s">
        <v>3384</v>
      </c>
      <c r="D2068" s="103">
        <f>INT(B2068/B2069*100)/100</f>
        <v>843.41</v>
      </c>
      <c r="E2068" s="1" t="s">
        <v>3385</v>
      </c>
      <c r="F2068" s="42" t="s">
        <v>1711</v>
      </c>
      <c r="G2068" s="42"/>
      <c r="H2068" s="71">
        <f>SUM(H2066:H2067)</f>
        <v>8434.19</v>
      </c>
    </row>
    <row r="2069" spans="1:8" ht="18" customHeight="1">
      <c r="A2069" s="28"/>
      <c r="B2069" s="121">
        <v>10</v>
      </c>
      <c r="F2069" s="42"/>
      <c r="G2069" s="42"/>
      <c r="H2069" s="90"/>
    </row>
    <row r="2070" spans="1:8" ht="18" customHeight="1">
      <c r="A2070" s="28"/>
      <c r="B2070" s="121"/>
      <c r="F2070" s="42"/>
      <c r="G2070" s="42"/>
      <c r="H2070" s="90"/>
    </row>
    <row r="2071" spans="1:8" ht="18" customHeight="1">
      <c r="A2071" s="28"/>
      <c r="B2071" s="121"/>
      <c r="F2071" s="42"/>
      <c r="G2071" s="42"/>
      <c r="H2071" s="90"/>
    </row>
    <row r="2072" spans="1:8" ht="18" customHeight="1">
      <c r="A2072" s="32"/>
      <c r="B2072" s="1072" t="s">
        <v>1861</v>
      </c>
      <c r="C2072" s="1072"/>
      <c r="D2072" s="1072"/>
      <c r="E2072" s="1072"/>
      <c r="F2072" s="1072"/>
      <c r="G2072" s="1072"/>
      <c r="H2072" s="1072"/>
    </row>
    <row r="2073" spans="1:8" ht="19.5">
      <c r="A2073" s="282">
        <f>+A2057+1</f>
        <v>121</v>
      </c>
      <c r="B2073" s="1076" t="s">
        <v>1862</v>
      </c>
      <c r="C2073" s="1077"/>
      <c r="D2073" s="1077"/>
      <c r="E2073" s="1077"/>
      <c r="F2073" s="1077"/>
      <c r="G2073" s="1077"/>
      <c r="H2073" s="1077"/>
    </row>
    <row r="2074" spans="1:8" ht="19.5">
      <c r="A2074" s="15" t="s">
        <v>3084</v>
      </c>
      <c r="B2074" s="1076" t="s">
        <v>1863</v>
      </c>
      <c r="C2074" s="1077"/>
      <c r="D2074" s="1077"/>
      <c r="E2074" s="1077"/>
      <c r="F2074" s="1077"/>
      <c r="G2074" s="1077"/>
      <c r="H2074" s="1077"/>
    </row>
    <row r="2075" spans="1:8">
      <c r="A2075" s="869" t="s">
        <v>4083</v>
      </c>
      <c r="B2075" s="1075" t="s">
        <v>1594</v>
      </c>
      <c r="C2075" s="1075"/>
      <c r="D2075" s="1075"/>
      <c r="E2075" s="1075"/>
      <c r="F2075" s="1075"/>
      <c r="G2075" s="1075"/>
      <c r="H2075" s="1075"/>
    </row>
    <row r="2076" spans="1:8" ht="18" customHeight="1">
      <c r="B2076" s="1083" t="s">
        <v>21</v>
      </c>
      <c r="C2076" s="1083"/>
      <c r="D2076" s="1083"/>
      <c r="E2076" s="1083"/>
      <c r="F2076" s="1083"/>
      <c r="G2076" s="1083"/>
      <c r="H2076" s="1083"/>
    </row>
    <row r="2077" spans="1:8" ht="31.5">
      <c r="B2077" s="70" t="s">
        <v>3340</v>
      </c>
      <c r="C2077" s="70" t="s">
        <v>3341</v>
      </c>
      <c r="D2077" s="70" t="s">
        <v>3342</v>
      </c>
      <c r="E2077" s="70" t="s">
        <v>3343</v>
      </c>
      <c r="F2077" s="70" t="s">
        <v>3344</v>
      </c>
      <c r="G2077" s="70" t="s">
        <v>3345</v>
      </c>
      <c r="H2077" s="70" t="s">
        <v>1704</v>
      </c>
    </row>
    <row r="2078" spans="1:8" ht="18" customHeight="1">
      <c r="B2078" s="1069" t="s">
        <v>1705</v>
      </c>
      <c r="C2078" s="60" t="s">
        <v>610</v>
      </c>
      <c r="D2078" s="43">
        <v>2.5</v>
      </c>
      <c r="E2078" s="57" t="s">
        <v>1707</v>
      </c>
      <c r="F2078" s="111">
        <f>'update Rate'!F5</f>
        <v>525</v>
      </c>
      <c r="G2078" s="111">
        <f t="shared" ref="G2078:G2084" si="63">FLOOR(D2078*F2078,0.01)</f>
        <v>1312.5</v>
      </c>
      <c r="H2078" s="112"/>
    </row>
    <row r="2079" spans="1:8" ht="18" customHeight="1">
      <c r="B2079" s="1070"/>
      <c r="C2079" s="58" t="s">
        <v>1647</v>
      </c>
      <c r="D2079" s="45">
        <v>16</v>
      </c>
      <c r="E2079" s="58" t="s">
        <v>1707</v>
      </c>
      <c r="F2079" s="65">
        <f>'update Rate'!F4</f>
        <v>375</v>
      </c>
      <c r="G2079" s="65">
        <f t="shared" si="63"/>
        <v>6000</v>
      </c>
      <c r="H2079" s="125">
        <f>SUM(G2078+G2079)</f>
        <v>7312.5</v>
      </c>
    </row>
    <row r="2080" spans="1:8" ht="18" customHeight="1">
      <c r="B2080" s="1069" t="s">
        <v>2330</v>
      </c>
      <c r="C2080" s="55" t="s">
        <v>1507</v>
      </c>
      <c r="D2080" s="54">
        <v>6.5000000000000002E-2</v>
      </c>
      <c r="E2080" s="55" t="s">
        <v>804</v>
      </c>
      <c r="F2080" s="113">
        <f>'update Rate'!F15</f>
        <v>14200</v>
      </c>
      <c r="G2080" s="113">
        <f t="shared" si="63"/>
        <v>923</v>
      </c>
      <c r="H2080" s="86"/>
    </row>
    <row r="2081" spans="1:8" ht="18" customHeight="1">
      <c r="B2081" s="1095"/>
      <c r="C2081" s="55" t="s">
        <v>801</v>
      </c>
      <c r="D2081" s="54">
        <v>8.7999999999999995E-2</v>
      </c>
      <c r="E2081" s="55" t="s">
        <v>2530</v>
      </c>
      <c r="F2081" s="113">
        <f>'update Rate'!F8</f>
        <v>1659.57</v>
      </c>
      <c r="G2081" s="113">
        <f t="shared" si="63"/>
        <v>146.04</v>
      </c>
      <c r="H2081" s="88"/>
    </row>
    <row r="2082" spans="1:8" ht="18" customHeight="1">
      <c r="B2082" s="1095"/>
      <c r="C2082" s="55" t="s">
        <v>1864</v>
      </c>
      <c r="D2082" s="54">
        <v>0.17599999999999999</v>
      </c>
      <c r="E2082" s="55" t="s">
        <v>2530</v>
      </c>
      <c r="F2082" s="113">
        <f>'update Rate'!F36</f>
        <v>1730.19</v>
      </c>
      <c r="G2082" s="113">
        <f t="shared" si="63"/>
        <v>304.51</v>
      </c>
      <c r="H2082" s="125"/>
    </row>
    <row r="2083" spans="1:8" ht="17.25">
      <c r="B2083" s="1095"/>
      <c r="C2083" s="55" t="s">
        <v>2273</v>
      </c>
      <c r="D2083" s="54">
        <v>6.0999999999999999E-2</v>
      </c>
      <c r="E2083" s="55" t="s">
        <v>804</v>
      </c>
      <c r="F2083" s="113">
        <f>'update Rate'!F16</f>
        <v>23750</v>
      </c>
      <c r="G2083" s="113">
        <f t="shared" si="63"/>
        <v>1448.75</v>
      </c>
      <c r="H2083" s="88"/>
    </row>
    <row r="2084" spans="1:8" ht="18" customHeight="1">
      <c r="B2084" s="1095"/>
      <c r="C2084" s="55" t="s">
        <v>2628</v>
      </c>
      <c r="D2084" s="54">
        <v>6.0999999999999999E-2</v>
      </c>
      <c r="E2084" s="55" t="s">
        <v>2530</v>
      </c>
      <c r="F2084" s="113">
        <f>Marble</f>
        <v>5299.5</v>
      </c>
      <c r="G2084" s="113">
        <f t="shared" si="63"/>
        <v>323.26</v>
      </c>
      <c r="H2084" s="88"/>
    </row>
    <row r="2085" spans="1:8" ht="18" customHeight="1">
      <c r="B2085" s="1095"/>
      <c r="C2085" s="55" t="s">
        <v>4376</v>
      </c>
      <c r="D2085" s="44"/>
      <c r="E2085" s="56"/>
      <c r="F2085" s="44"/>
      <c r="G2085" s="113"/>
      <c r="H2085" s="88"/>
    </row>
    <row r="2086" spans="1:8" ht="18" customHeight="1">
      <c r="B2086" s="1095"/>
      <c r="C2086" s="55" t="s">
        <v>4375</v>
      </c>
      <c r="D2086" s="54">
        <v>0.36499999999999999</v>
      </c>
      <c r="E2086" s="55" t="s">
        <v>3096</v>
      </c>
      <c r="F2086" s="44">
        <f>'update Rate'!$F$137</f>
        <v>115</v>
      </c>
      <c r="G2086" s="113">
        <f>FLOOR(D2086*F2086,0.01)</f>
        <v>41.97</v>
      </c>
      <c r="H2086" s="88"/>
    </row>
    <row r="2087" spans="1:8" ht="18" customHeight="1">
      <c r="B2087" s="1095"/>
      <c r="C2087" s="55" t="s">
        <v>2275</v>
      </c>
      <c r="D2087" s="54">
        <v>0.11799999999999999</v>
      </c>
      <c r="E2087" s="55" t="s">
        <v>3096</v>
      </c>
      <c r="F2087" s="44">
        <f>'update Rate'!$F$138</f>
        <v>200</v>
      </c>
      <c r="G2087" s="113">
        <f>FLOOR(D2087*F2087,0.01)</f>
        <v>23.6</v>
      </c>
      <c r="H2087" s="88"/>
    </row>
    <row r="2088" spans="1:8" ht="18" customHeight="1">
      <c r="B2088" s="1095"/>
      <c r="C2088" s="55" t="s">
        <v>2276</v>
      </c>
      <c r="D2088" s="54">
        <v>0.53800000000000003</v>
      </c>
      <c r="E2088" s="55" t="s">
        <v>2844</v>
      </c>
      <c r="F2088" s="44">
        <f>'update Rate'!$F$139</f>
        <v>180</v>
      </c>
      <c r="G2088" s="113">
        <f>FLOOR(D2088*F2088,0.01)</f>
        <v>96.84</v>
      </c>
      <c r="H2088" s="88"/>
    </row>
    <row r="2089" spans="1:8" ht="17.25">
      <c r="B2089" s="1070"/>
      <c r="C2089" s="58" t="s">
        <v>2843</v>
      </c>
      <c r="D2089" s="65" t="s">
        <v>3171</v>
      </c>
      <c r="E2089" s="58" t="s">
        <v>3173</v>
      </c>
      <c r="F2089" s="45"/>
      <c r="G2089" s="45">
        <v>120</v>
      </c>
      <c r="H2089" s="89">
        <f>SUM(G2080:G2089)</f>
        <v>3427.9700000000003</v>
      </c>
    </row>
    <row r="2090" spans="1:8" ht="17.25">
      <c r="F2090" s="42" t="s">
        <v>1708</v>
      </c>
      <c r="G2090" s="42"/>
      <c r="H2090" s="45">
        <f>SUM(H2079:H2089)</f>
        <v>10740.470000000001</v>
      </c>
    </row>
    <row r="2091" spans="1:8" ht="15.75">
      <c r="B2091" s="1" t="s">
        <v>1710</v>
      </c>
      <c r="F2091" s="42" t="s">
        <v>1689</v>
      </c>
      <c r="G2091" s="42"/>
      <c r="H2091" s="103">
        <f>FLOOR(H2090*0.15,0.01)</f>
        <v>1611.07</v>
      </c>
    </row>
    <row r="2092" spans="1:8" ht="15" customHeight="1">
      <c r="A2092"/>
      <c r="B2092" s="147">
        <f>+H2092</f>
        <v>12351.54</v>
      </c>
      <c r="C2092" s="28" t="s">
        <v>3384</v>
      </c>
      <c r="D2092" s="103">
        <f>INT(B2092/B2093*100)/100</f>
        <v>1235.1500000000001</v>
      </c>
      <c r="E2092" s="1" t="s">
        <v>3385</v>
      </c>
      <c r="F2092" s="42" t="s">
        <v>1711</v>
      </c>
      <c r="G2092" s="42"/>
      <c r="H2092" s="71">
        <f>SUM(H2090:H2091)</f>
        <v>12351.54</v>
      </c>
    </row>
    <row r="2093" spans="1:8">
      <c r="A2093" s="28"/>
      <c r="B2093" s="121">
        <v>10</v>
      </c>
      <c r="H2093" s="19"/>
    </row>
    <row r="2094" spans="1:8">
      <c r="A2094" s="28"/>
      <c r="B2094" s="121"/>
      <c r="H2094" s="19"/>
    </row>
    <row r="2095" spans="1:8">
      <c r="A2095" s="28"/>
      <c r="B2095" s="121"/>
      <c r="H2095" s="19"/>
    </row>
    <row r="2096" spans="1:8">
      <c r="A2096" s="28"/>
      <c r="B2096" s="121"/>
      <c r="H2096" s="19"/>
    </row>
    <row r="2097" spans="1:8">
      <c r="A2097" s="28"/>
      <c r="B2097" s="121"/>
      <c r="H2097" s="19"/>
    </row>
    <row r="2098" spans="1:8">
      <c r="A2098" s="28"/>
      <c r="B2098" s="121"/>
      <c r="H2098" s="19"/>
    </row>
    <row r="2099" spans="1:8" ht="18" customHeight="1">
      <c r="A2099" s="28"/>
      <c r="B2099" s="121"/>
      <c r="H2099" s="19"/>
    </row>
    <row r="2100" spans="1:8" ht="18" customHeight="1">
      <c r="A2100" s="32"/>
      <c r="B2100" s="1072" t="s">
        <v>2900</v>
      </c>
      <c r="C2100" s="1072"/>
      <c r="D2100" s="1072"/>
      <c r="E2100" s="1072"/>
      <c r="F2100" s="1072"/>
      <c r="G2100" s="1072"/>
      <c r="H2100" s="1072"/>
    </row>
    <row r="2101" spans="1:8" ht="18" customHeight="1">
      <c r="A2101" s="282">
        <f>+A2073+1</f>
        <v>122</v>
      </c>
      <c r="B2101" s="1076" t="s">
        <v>2901</v>
      </c>
      <c r="C2101" s="1077"/>
      <c r="D2101" s="1077"/>
      <c r="E2101" s="1077"/>
      <c r="F2101" s="1077"/>
      <c r="G2101" s="1077"/>
      <c r="H2101" s="1077"/>
    </row>
    <row r="2102" spans="1:8" ht="18" customHeight="1">
      <c r="A2102" s="15" t="s">
        <v>1111</v>
      </c>
      <c r="B2102" s="1076" t="s">
        <v>2902</v>
      </c>
      <c r="C2102" s="1077"/>
      <c r="D2102" s="1077"/>
      <c r="E2102" s="1077"/>
      <c r="F2102" s="1077"/>
      <c r="G2102" s="1077"/>
      <c r="H2102" s="1077"/>
    </row>
    <row r="2103" spans="1:8" ht="18" customHeight="1">
      <c r="A2103" s="869" t="s">
        <v>4084</v>
      </c>
      <c r="B2103" s="1075" t="s">
        <v>1594</v>
      </c>
      <c r="C2103" s="1075"/>
      <c r="D2103" s="1075"/>
      <c r="E2103" s="1075"/>
      <c r="F2103" s="1075"/>
      <c r="G2103" s="1075"/>
      <c r="H2103" s="1075"/>
    </row>
    <row r="2104" spans="1:8" ht="31.5">
      <c r="B2104" s="70" t="s">
        <v>3340</v>
      </c>
      <c r="C2104" s="70" t="s">
        <v>3341</v>
      </c>
      <c r="D2104" s="70" t="s">
        <v>3342</v>
      </c>
      <c r="E2104" s="70" t="s">
        <v>3343</v>
      </c>
      <c r="F2104" s="70" t="s">
        <v>3344</v>
      </c>
      <c r="G2104" s="70" t="s">
        <v>3345</v>
      </c>
      <c r="H2104" s="70" t="s">
        <v>1704</v>
      </c>
    </row>
    <row r="2105" spans="1:8" ht="18" customHeight="1">
      <c r="B2105" s="1067" t="s">
        <v>1705</v>
      </c>
      <c r="C2105" s="60" t="s">
        <v>610</v>
      </c>
      <c r="D2105" s="43">
        <v>3.5</v>
      </c>
      <c r="E2105" s="60" t="s">
        <v>1707</v>
      </c>
      <c r="F2105" s="111">
        <f>'update Rate'!F5</f>
        <v>525</v>
      </c>
      <c r="G2105" s="111">
        <f t="shared" ref="G2105:G2113" si="64">FLOOR(D2105*F2105,0.01)</f>
        <v>1837.5</v>
      </c>
      <c r="H2105" s="112"/>
    </row>
    <row r="2106" spans="1:8" ht="18" customHeight="1">
      <c r="B2106" s="1070"/>
      <c r="C2106" s="58" t="s">
        <v>1647</v>
      </c>
      <c r="D2106" s="45">
        <v>36</v>
      </c>
      <c r="E2106" s="58" t="s">
        <v>1707</v>
      </c>
      <c r="F2106" s="65">
        <f>'update Rate'!F4</f>
        <v>375</v>
      </c>
      <c r="G2106" s="65">
        <f t="shared" si="64"/>
        <v>13500</v>
      </c>
      <c r="H2106" s="125">
        <f>SUM(G2105+G2106)</f>
        <v>15337.5</v>
      </c>
    </row>
    <row r="2107" spans="1:8" ht="18" customHeight="1">
      <c r="B2107" s="1069" t="s">
        <v>2330</v>
      </c>
      <c r="C2107" s="55" t="s">
        <v>1507</v>
      </c>
      <c r="D2107" s="54">
        <v>0.121</v>
      </c>
      <c r="E2107" s="55" t="s">
        <v>804</v>
      </c>
      <c r="F2107" s="113">
        <f>'update Rate'!F15</f>
        <v>14200</v>
      </c>
      <c r="G2107" s="113">
        <f t="shared" si="64"/>
        <v>1718.2</v>
      </c>
      <c r="H2107" s="86"/>
    </row>
    <row r="2108" spans="1:8" ht="17.25">
      <c r="B2108" s="1095"/>
      <c r="C2108" s="55" t="s">
        <v>801</v>
      </c>
      <c r="D2108" s="54">
        <v>0.16500000000000001</v>
      </c>
      <c r="E2108" s="55" t="s">
        <v>2530</v>
      </c>
      <c r="F2108" s="113">
        <f>'update Rate'!F8</f>
        <v>1659.57</v>
      </c>
      <c r="G2108" s="113">
        <f t="shared" si="64"/>
        <v>273.82</v>
      </c>
      <c r="H2108" s="88"/>
    </row>
    <row r="2109" spans="1:8" ht="17.25">
      <c r="B2109" s="1095"/>
      <c r="C2109" s="55" t="s">
        <v>2273</v>
      </c>
      <c r="D2109" s="54">
        <v>6.9000000000000006E-2</v>
      </c>
      <c r="E2109" s="55" t="s">
        <v>804</v>
      </c>
      <c r="F2109" s="113">
        <f>'update Rate'!F16</f>
        <v>23750</v>
      </c>
      <c r="G2109" s="113">
        <f t="shared" si="64"/>
        <v>1638.75</v>
      </c>
      <c r="H2109" s="88"/>
    </row>
    <row r="2110" spans="1:8" ht="18" customHeight="1">
      <c r="B2110" s="1095"/>
      <c r="C2110" s="55" t="s">
        <v>2628</v>
      </c>
      <c r="D2110" s="54">
        <v>4.7E-2</v>
      </c>
      <c r="E2110" s="55" t="s">
        <v>2530</v>
      </c>
      <c r="F2110" s="113">
        <f>Marble</f>
        <v>5299.5</v>
      </c>
      <c r="G2110" s="113">
        <f t="shared" si="64"/>
        <v>249.07</v>
      </c>
      <c r="H2110" s="88"/>
    </row>
    <row r="2111" spans="1:8" ht="17.25">
      <c r="B2111" s="1095"/>
      <c r="C2111" s="56" t="s">
        <v>2274</v>
      </c>
      <c r="D2111" s="44">
        <v>0.34</v>
      </c>
      <c r="E2111" s="56" t="s">
        <v>3096</v>
      </c>
      <c r="F2111" s="44">
        <f>'update Rate'!$F$137</f>
        <v>115</v>
      </c>
      <c r="G2111" s="113">
        <f t="shared" si="64"/>
        <v>39.1</v>
      </c>
      <c r="H2111" s="88"/>
    </row>
    <row r="2112" spans="1:8" ht="18" customHeight="1">
      <c r="B2112" s="1095"/>
      <c r="C2112" s="55" t="s">
        <v>2275</v>
      </c>
      <c r="D2112" s="44">
        <v>0.11</v>
      </c>
      <c r="E2112" s="55" t="s">
        <v>3096</v>
      </c>
      <c r="F2112" s="44">
        <f>'update Rate'!$F$138</f>
        <v>200</v>
      </c>
      <c r="G2112" s="113">
        <f t="shared" si="64"/>
        <v>22</v>
      </c>
      <c r="H2112" s="88"/>
    </row>
    <row r="2113" spans="1:8" ht="17.25">
      <c r="B2113" s="1095"/>
      <c r="C2113" s="55" t="s">
        <v>2276</v>
      </c>
      <c r="D2113" s="44">
        <v>0.5</v>
      </c>
      <c r="E2113" s="55" t="s">
        <v>2844</v>
      </c>
      <c r="F2113" s="44">
        <f>'update Rate'!$F$139</f>
        <v>180</v>
      </c>
      <c r="G2113" s="113">
        <f t="shared" si="64"/>
        <v>90</v>
      </c>
      <c r="H2113" s="88"/>
    </row>
    <row r="2114" spans="1:8" ht="18" customHeight="1">
      <c r="B2114" s="1070"/>
      <c r="C2114" s="58" t="s">
        <v>2843</v>
      </c>
      <c r="D2114" s="65" t="s">
        <v>3171</v>
      </c>
      <c r="E2114" s="58" t="s">
        <v>3173</v>
      </c>
      <c r="F2114" s="65"/>
      <c r="G2114" s="65">
        <v>120</v>
      </c>
      <c r="H2114" s="127">
        <f>SUM(G2107:G2114)</f>
        <v>4150.9400000000005</v>
      </c>
    </row>
    <row r="2115" spans="1:8" ht="18" customHeight="1">
      <c r="F2115" s="42" t="s">
        <v>1708</v>
      </c>
      <c r="G2115" s="117"/>
      <c r="H2115" s="65">
        <f>SUM(H2106:H2114)</f>
        <v>19488.440000000002</v>
      </c>
    </row>
    <row r="2116" spans="1:8" ht="15.75">
      <c r="B2116" s="1" t="s">
        <v>1710</v>
      </c>
      <c r="F2116" s="42" t="s">
        <v>1689</v>
      </c>
      <c r="G2116" s="117"/>
      <c r="H2116" s="103">
        <f>FLOOR(H2115*0.15,0.01)</f>
        <v>2923.26</v>
      </c>
    </row>
    <row r="2117" spans="1:8" ht="18" customHeight="1">
      <c r="A2117"/>
      <c r="B2117" s="147">
        <f>+H2117</f>
        <v>22411.700000000004</v>
      </c>
      <c r="C2117" s="28" t="s">
        <v>3384</v>
      </c>
      <c r="D2117" s="103">
        <f>INT(B2117/B2118*100)/100</f>
        <v>2241.17</v>
      </c>
      <c r="E2117" s="1" t="s">
        <v>3385</v>
      </c>
      <c r="F2117" s="42" t="s">
        <v>1711</v>
      </c>
      <c r="G2117" s="117"/>
      <c r="H2117" s="103">
        <f>SUM(H2115:H2116)</f>
        <v>22411.700000000004</v>
      </c>
    </row>
    <row r="2118" spans="1:8" ht="18" customHeight="1">
      <c r="A2118" s="33"/>
      <c r="B2118" s="121">
        <v>10</v>
      </c>
    </row>
    <row r="2119" spans="1:8">
      <c r="A2119" s="33"/>
      <c r="B2119" s="121"/>
    </row>
    <row r="2120" spans="1:8" ht="19.5">
      <c r="A2120" s="32"/>
      <c r="B2120" s="1072" t="s">
        <v>2630</v>
      </c>
      <c r="C2120" s="1072"/>
      <c r="D2120" s="1072"/>
      <c r="E2120" s="1072"/>
      <c r="F2120" s="1072"/>
      <c r="G2120" s="1072"/>
      <c r="H2120" s="1072"/>
    </row>
    <row r="2121" spans="1:8" ht="19.5">
      <c r="A2121" s="282">
        <f>+A2101+1</f>
        <v>123</v>
      </c>
      <c r="B2121" s="1076" t="s">
        <v>2328</v>
      </c>
      <c r="C2121" s="1077"/>
      <c r="D2121" s="1077"/>
      <c r="E2121" s="1077"/>
      <c r="F2121" s="1077"/>
      <c r="G2121" s="1077"/>
      <c r="H2121" s="1077"/>
    </row>
    <row r="2122" spans="1:8" ht="18" customHeight="1">
      <c r="A2122" s="15" t="s">
        <v>2629</v>
      </c>
      <c r="B2122" s="1076" t="s">
        <v>2902</v>
      </c>
      <c r="C2122" s="1077"/>
      <c r="D2122" s="1077"/>
      <c r="E2122" s="1077"/>
      <c r="F2122" s="1077"/>
      <c r="G2122" s="1077"/>
      <c r="H2122" s="1077"/>
    </row>
    <row r="2123" spans="1:8">
      <c r="A2123" s="869" t="s">
        <v>4085</v>
      </c>
      <c r="B2123" s="1083" t="s">
        <v>1594</v>
      </c>
      <c r="C2123" s="1083"/>
      <c r="D2123" s="1083"/>
      <c r="E2123" s="1083"/>
      <c r="F2123" s="1083"/>
      <c r="G2123" s="1083"/>
      <c r="H2123" s="1083"/>
    </row>
    <row r="2124" spans="1:8" ht="31.5">
      <c r="B2124" s="70" t="s">
        <v>3340</v>
      </c>
      <c r="C2124" s="70" t="s">
        <v>3341</v>
      </c>
      <c r="D2124" s="70" t="s">
        <v>3342</v>
      </c>
      <c r="E2124" s="70" t="s">
        <v>3343</v>
      </c>
      <c r="F2124" s="70" t="s">
        <v>3344</v>
      </c>
      <c r="G2124" s="70" t="s">
        <v>3345</v>
      </c>
      <c r="H2124" s="70" t="s">
        <v>1704</v>
      </c>
    </row>
    <row r="2125" spans="1:8" ht="18" customHeight="1">
      <c r="B2125" s="1067" t="s">
        <v>1705</v>
      </c>
      <c r="C2125" s="60" t="s">
        <v>610</v>
      </c>
      <c r="D2125" s="43">
        <v>3.5</v>
      </c>
      <c r="E2125" s="57" t="s">
        <v>1707</v>
      </c>
      <c r="F2125" s="111">
        <f>'update Rate'!F5</f>
        <v>525</v>
      </c>
      <c r="G2125" s="111">
        <f t="shared" ref="G2125:G2133" si="65">FLOOR(D2125*F2125,0.01)</f>
        <v>1837.5</v>
      </c>
      <c r="H2125" s="112"/>
    </row>
    <row r="2126" spans="1:8" ht="17.25">
      <c r="B2126" s="1070"/>
      <c r="C2126" s="58" t="s">
        <v>1647</v>
      </c>
      <c r="D2126" s="45">
        <v>36</v>
      </c>
      <c r="E2126" s="58" t="s">
        <v>1707</v>
      </c>
      <c r="F2126" s="65">
        <f>'update Rate'!F4</f>
        <v>375</v>
      </c>
      <c r="G2126" s="65">
        <f t="shared" si="65"/>
        <v>13500</v>
      </c>
      <c r="H2126" s="125">
        <f>SUM(G2125+G2126)</f>
        <v>15337.5</v>
      </c>
    </row>
    <row r="2127" spans="1:8" ht="18" customHeight="1">
      <c r="B2127" s="670" t="s">
        <v>2330</v>
      </c>
      <c r="C2127" s="55" t="s">
        <v>1507</v>
      </c>
      <c r="D2127" s="54">
        <v>8.8999999999999996E-2</v>
      </c>
      <c r="E2127" s="55" t="s">
        <v>804</v>
      </c>
      <c r="F2127" s="113">
        <f>'update Rate'!F15</f>
        <v>14200</v>
      </c>
      <c r="G2127" s="113">
        <f t="shared" si="65"/>
        <v>1263.8</v>
      </c>
      <c r="H2127" s="86"/>
    </row>
    <row r="2128" spans="1:8" ht="18" customHeight="1">
      <c r="B2128" s="676"/>
      <c r="C2128" s="55" t="s">
        <v>801</v>
      </c>
      <c r="D2128" s="54">
        <v>0.122</v>
      </c>
      <c r="E2128" s="55" t="s">
        <v>2530</v>
      </c>
      <c r="F2128" s="113">
        <f>'update Rate'!F8</f>
        <v>1659.57</v>
      </c>
      <c r="G2128" s="113">
        <f t="shared" si="65"/>
        <v>202.46</v>
      </c>
      <c r="H2128" s="88"/>
    </row>
    <row r="2129" spans="1:8" ht="17.25">
      <c r="B2129" s="676"/>
      <c r="C2129" s="55" t="s">
        <v>2273</v>
      </c>
      <c r="D2129" s="54">
        <v>8.8999999999999996E-2</v>
      </c>
      <c r="E2129" s="55" t="s">
        <v>804</v>
      </c>
      <c r="F2129" s="113">
        <f>'update Rate'!F16</f>
        <v>23750</v>
      </c>
      <c r="G2129" s="113">
        <f t="shared" si="65"/>
        <v>2113.75</v>
      </c>
      <c r="H2129" s="88"/>
    </row>
    <row r="2130" spans="1:8" ht="18" customHeight="1">
      <c r="B2130" s="676"/>
      <c r="C2130" s="55" t="s">
        <v>2628</v>
      </c>
      <c r="D2130" s="54">
        <v>6.0999999999999999E-2</v>
      </c>
      <c r="E2130" s="55" t="s">
        <v>2530</v>
      </c>
      <c r="F2130" s="113">
        <f>Marble</f>
        <v>5299.5</v>
      </c>
      <c r="G2130" s="113">
        <f t="shared" si="65"/>
        <v>323.26</v>
      </c>
      <c r="H2130" s="88"/>
    </row>
    <row r="2131" spans="1:8" ht="18" customHeight="1">
      <c r="B2131" s="676"/>
      <c r="C2131" s="56" t="s">
        <v>2274</v>
      </c>
      <c r="D2131" s="44">
        <v>0.37</v>
      </c>
      <c r="E2131" s="55" t="s">
        <v>3096</v>
      </c>
      <c r="F2131" s="44">
        <f>'update Rate'!$F$137</f>
        <v>115</v>
      </c>
      <c r="G2131" s="113">
        <f t="shared" si="65"/>
        <v>42.550000000000004</v>
      </c>
      <c r="H2131" s="88"/>
    </row>
    <row r="2132" spans="1:8" ht="17.25">
      <c r="B2132" s="676"/>
      <c r="C2132" s="55" t="s">
        <v>2275</v>
      </c>
      <c r="D2132" s="54">
        <v>0.11799999999999999</v>
      </c>
      <c r="E2132" s="55" t="s">
        <v>3096</v>
      </c>
      <c r="F2132" s="44">
        <f>'update Rate'!$F$138</f>
        <v>200</v>
      </c>
      <c r="G2132" s="113">
        <f t="shared" si="65"/>
        <v>23.6</v>
      </c>
      <c r="H2132" s="88"/>
    </row>
    <row r="2133" spans="1:8" ht="18" customHeight="1">
      <c r="B2133" s="676"/>
      <c r="C2133" s="55" t="s">
        <v>2276</v>
      </c>
      <c r="D2133" s="54">
        <v>0.53800000000000003</v>
      </c>
      <c r="E2133" s="55" t="s">
        <v>2844</v>
      </c>
      <c r="F2133" s="44">
        <f>'update Rate'!$F$139</f>
        <v>180</v>
      </c>
      <c r="G2133" s="113">
        <f t="shared" si="65"/>
        <v>96.84</v>
      </c>
      <c r="H2133" s="88"/>
    </row>
    <row r="2134" spans="1:8" ht="18" customHeight="1">
      <c r="B2134" s="671"/>
      <c r="C2134" s="58" t="s">
        <v>2843</v>
      </c>
      <c r="D2134" s="65" t="s">
        <v>3171</v>
      </c>
      <c r="E2134" s="58" t="s">
        <v>3173</v>
      </c>
      <c r="F2134" s="65"/>
      <c r="G2134" s="65">
        <v>120</v>
      </c>
      <c r="H2134" s="127">
        <f>SUM(G2127:G2134)</f>
        <v>4186.26</v>
      </c>
    </row>
    <row r="2135" spans="1:8" ht="15.75">
      <c r="F2135" s="42" t="s">
        <v>1708</v>
      </c>
      <c r="G2135" s="117"/>
      <c r="H2135" s="65">
        <f>SUM(H2126:H2134)</f>
        <v>19523.760000000002</v>
      </c>
    </row>
    <row r="2136" spans="1:8" ht="15.75">
      <c r="B2136" s="1" t="s">
        <v>1710</v>
      </c>
      <c r="F2136" s="42" t="s">
        <v>1689</v>
      </c>
      <c r="G2136" s="117"/>
      <c r="H2136" s="103">
        <f>FLOOR(H2135*0.15,0.01)</f>
        <v>2928.56</v>
      </c>
    </row>
    <row r="2137" spans="1:8" ht="15.75">
      <c r="A2137"/>
      <c r="B2137" s="147">
        <f>+H2137</f>
        <v>22452.320000000003</v>
      </c>
      <c r="C2137" s="28" t="s">
        <v>3384</v>
      </c>
      <c r="D2137" s="103">
        <f>INT(B2137/B2138*100)/100</f>
        <v>2245.23</v>
      </c>
      <c r="E2137" s="1" t="s">
        <v>3385</v>
      </c>
      <c r="F2137" s="42" t="s">
        <v>1711</v>
      </c>
      <c r="G2137" s="117"/>
      <c r="H2137" s="103">
        <f>SUM(H2135:H2136)</f>
        <v>22452.320000000003</v>
      </c>
    </row>
    <row r="2138" spans="1:8">
      <c r="A2138" s="33"/>
      <c r="B2138" s="121">
        <v>10</v>
      </c>
    </row>
    <row r="2139" spans="1:8">
      <c r="A2139" s="33"/>
      <c r="B2139" s="121"/>
    </row>
    <row r="2140" spans="1:8">
      <c r="A2140" s="33"/>
      <c r="B2140" s="121"/>
    </row>
    <row r="2141" spans="1:8">
      <c r="A2141" s="33"/>
      <c r="B2141" s="121"/>
    </row>
    <row r="2142" spans="1:8">
      <c r="A2142" s="33"/>
      <c r="B2142" s="121"/>
    </row>
    <row r="2143" spans="1:8">
      <c r="A2143" s="33"/>
      <c r="B2143" s="121"/>
    </row>
    <row r="2144" spans="1:8" ht="18" customHeight="1">
      <c r="A2144" s="33"/>
    </row>
    <row r="2145" spans="1:9" ht="18" customHeight="1">
      <c r="A2145" s="33"/>
    </row>
    <row r="2146" spans="1:9" ht="18" customHeight="1">
      <c r="A2146" s="282">
        <f>+A2121+1</f>
        <v>124</v>
      </c>
      <c r="B2146" s="1071" t="s">
        <v>1779</v>
      </c>
      <c r="C2146" s="1072"/>
      <c r="D2146" s="1072"/>
      <c r="E2146" s="1072"/>
      <c r="F2146" s="1072"/>
      <c r="G2146" s="1072"/>
      <c r="H2146" s="1072"/>
    </row>
    <row r="2147" spans="1:9" ht="18" customHeight="1">
      <c r="A2147" s="15" t="s">
        <v>2329</v>
      </c>
      <c r="B2147" s="1076" t="s">
        <v>438</v>
      </c>
      <c r="C2147" s="1077"/>
      <c r="D2147" s="1077"/>
      <c r="E2147" s="1077"/>
      <c r="F2147" s="1077"/>
      <c r="G2147" s="1077"/>
      <c r="H2147" s="1077"/>
    </row>
    <row r="2148" spans="1:9" ht="18" customHeight="1">
      <c r="A2148" s="869" t="s">
        <v>4086</v>
      </c>
      <c r="B2148" s="1083" t="s">
        <v>1594</v>
      </c>
      <c r="C2148" s="1083"/>
      <c r="D2148" s="1083"/>
      <c r="E2148" s="1083"/>
      <c r="F2148" s="1083"/>
      <c r="G2148" s="1083"/>
      <c r="H2148" s="1083"/>
    </row>
    <row r="2149" spans="1:9" ht="31.5">
      <c r="B2149" s="70" t="s">
        <v>3340</v>
      </c>
      <c r="C2149" s="70" t="s">
        <v>3341</v>
      </c>
      <c r="D2149" s="70" t="s">
        <v>3342</v>
      </c>
      <c r="E2149" s="70" t="s">
        <v>3343</v>
      </c>
      <c r="F2149" s="70" t="s">
        <v>3344</v>
      </c>
      <c r="G2149" s="70" t="s">
        <v>3345</v>
      </c>
      <c r="H2149" s="70" t="s">
        <v>1704</v>
      </c>
      <c r="I2149" s="272"/>
    </row>
    <row r="2150" spans="1:9" ht="17.25">
      <c r="B2150" s="1067" t="s">
        <v>1705</v>
      </c>
      <c r="C2150" s="60" t="s">
        <v>610</v>
      </c>
      <c r="D2150" s="43">
        <v>2</v>
      </c>
      <c r="E2150" s="57" t="s">
        <v>1707</v>
      </c>
      <c r="F2150" s="111">
        <f>'update Rate'!F5</f>
        <v>525</v>
      </c>
      <c r="G2150" s="111">
        <f t="shared" ref="G2150:G2157" si="66">FLOOR(D2150*F2150,0.01)</f>
        <v>1050</v>
      </c>
      <c r="H2150" s="112"/>
    </row>
    <row r="2151" spans="1:9" ht="17.25">
      <c r="B2151" s="1070"/>
      <c r="C2151" s="58" t="s">
        <v>1647</v>
      </c>
      <c r="D2151" s="45">
        <v>12.6</v>
      </c>
      <c r="E2151" s="58" t="s">
        <v>1707</v>
      </c>
      <c r="F2151" s="65">
        <f>'update Rate'!F4</f>
        <v>375</v>
      </c>
      <c r="G2151" s="65">
        <f t="shared" si="66"/>
        <v>4725</v>
      </c>
      <c r="H2151" s="125">
        <f>SUM(G2150+G2151)</f>
        <v>5775</v>
      </c>
    </row>
    <row r="2152" spans="1:9" ht="18" customHeight="1">
      <c r="B2152" s="1069" t="s">
        <v>2330</v>
      </c>
      <c r="C2152" s="141" t="s">
        <v>1600</v>
      </c>
      <c r="D2152" s="44">
        <v>11</v>
      </c>
      <c r="E2152" s="55" t="s">
        <v>3170</v>
      </c>
      <c r="F2152" s="113">
        <f>Ttile</f>
        <v>538</v>
      </c>
      <c r="G2152" s="113">
        <f t="shared" si="66"/>
        <v>5918</v>
      </c>
      <c r="H2152" s="86"/>
    </row>
    <row r="2153" spans="1:9" ht="18" customHeight="1">
      <c r="B2153" s="1095"/>
      <c r="C2153" s="55" t="s">
        <v>1650</v>
      </c>
      <c r="D2153" s="54">
        <v>8.1000000000000003E-2</v>
      </c>
      <c r="E2153" s="55" t="s">
        <v>804</v>
      </c>
      <c r="F2153" s="113">
        <f>'update Rate'!F15</f>
        <v>14200</v>
      </c>
      <c r="G2153" s="113">
        <f t="shared" si="66"/>
        <v>1150.2</v>
      </c>
      <c r="H2153" s="88"/>
    </row>
    <row r="2154" spans="1:9" ht="18" customHeight="1">
      <c r="B2154" s="1095"/>
      <c r="C2154" s="55" t="s">
        <v>801</v>
      </c>
      <c r="D2154" s="44">
        <v>0.22</v>
      </c>
      <c r="E2154" s="55" t="s">
        <v>2530</v>
      </c>
      <c r="F2154" s="113">
        <f>'update Rate'!F8</f>
        <v>1659.57</v>
      </c>
      <c r="G2154" s="113">
        <f t="shared" si="66"/>
        <v>365.1</v>
      </c>
      <c r="H2154" s="88"/>
    </row>
    <row r="2155" spans="1:9" ht="17.25">
      <c r="B2155" s="1095"/>
      <c r="C2155" s="55" t="s">
        <v>1601</v>
      </c>
      <c r="D2155" s="44">
        <v>0.37</v>
      </c>
      <c r="E2155" s="55" t="s">
        <v>3096</v>
      </c>
      <c r="F2155" s="44">
        <f>'update Rate'!$F$137</f>
        <v>115</v>
      </c>
      <c r="G2155" s="113">
        <f t="shared" si="66"/>
        <v>42.550000000000004</v>
      </c>
      <c r="H2155" s="88"/>
    </row>
    <row r="2156" spans="1:9" ht="17.25">
      <c r="B2156" s="1095"/>
      <c r="C2156" s="55" t="s">
        <v>2275</v>
      </c>
      <c r="D2156" s="54">
        <v>0.11799999999999999</v>
      </c>
      <c r="E2156" s="55" t="s">
        <v>3096</v>
      </c>
      <c r="F2156" s="44">
        <f>'update Rate'!$F$138</f>
        <v>200</v>
      </c>
      <c r="G2156" s="113">
        <f t="shared" si="66"/>
        <v>23.6</v>
      </c>
      <c r="H2156" s="88"/>
    </row>
    <row r="2157" spans="1:9" ht="17.25">
      <c r="B2157" s="1095"/>
      <c r="C2157" s="55" t="s">
        <v>2276</v>
      </c>
      <c r="D2157" s="54">
        <v>0.53800000000000003</v>
      </c>
      <c r="E2157" s="55" t="s">
        <v>2844</v>
      </c>
      <c r="F2157" s="44">
        <f>'update Rate'!$F$139</f>
        <v>180</v>
      </c>
      <c r="G2157" s="113">
        <f t="shared" si="66"/>
        <v>96.84</v>
      </c>
      <c r="H2157" s="88"/>
    </row>
    <row r="2158" spans="1:9" ht="18" customHeight="1">
      <c r="B2158" s="1070"/>
      <c r="C2158" s="58" t="s">
        <v>2843</v>
      </c>
      <c r="D2158" s="79" t="s">
        <v>3171</v>
      </c>
      <c r="E2158" s="58" t="s">
        <v>3173</v>
      </c>
      <c r="F2158" s="65"/>
      <c r="G2158" s="65">
        <v>120</v>
      </c>
      <c r="H2158" s="127">
        <f>SUM(G2152:G2158)</f>
        <v>7716.2900000000009</v>
      </c>
    </row>
    <row r="2159" spans="1:9" ht="17.25">
      <c r="B2159" s="68" t="s">
        <v>2119</v>
      </c>
      <c r="C2159" s="66" t="s">
        <v>1780</v>
      </c>
      <c r="D2159" s="46">
        <v>13.5</v>
      </c>
      <c r="E2159" s="66" t="s">
        <v>1707</v>
      </c>
      <c r="F2159" s="65">
        <f>'update Rate'!E4</f>
        <v>375</v>
      </c>
      <c r="G2159" s="103">
        <f>FLOOR(D2159*F2159,0.01)</f>
        <v>5062.5</v>
      </c>
      <c r="H2159" s="103">
        <f>SUM(G2159)</f>
        <v>5062.5</v>
      </c>
    </row>
    <row r="2160" spans="1:9" ht="18" customHeight="1">
      <c r="F2160" s="42" t="s">
        <v>1708</v>
      </c>
      <c r="G2160" s="117"/>
      <c r="H2160" s="65">
        <f>SUM(H2151:H2159)</f>
        <v>18553.79</v>
      </c>
    </row>
    <row r="2161" spans="1:8" ht="15.75">
      <c r="B2161" s="1" t="s">
        <v>1710</v>
      </c>
      <c r="F2161" s="42" t="s">
        <v>1689</v>
      </c>
      <c r="G2161" s="117"/>
      <c r="H2161" s="103">
        <f>FLOOR(H2160*0.15,0.01)</f>
        <v>2783.06</v>
      </c>
    </row>
    <row r="2162" spans="1:8" ht="18" customHeight="1">
      <c r="A2162"/>
      <c r="B2162" s="147">
        <f>+H2162</f>
        <v>21336.850000000002</v>
      </c>
      <c r="C2162" s="28" t="s">
        <v>3384</v>
      </c>
      <c r="D2162" s="103">
        <f>INT(B2162/B2163*100)/100</f>
        <v>2133.6799999999998</v>
      </c>
      <c r="E2162" s="1" t="s">
        <v>3385</v>
      </c>
      <c r="F2162" s="42" t="s">
        <v>1711</v>
      </c>
      <c r="G2162" s="117"/>
      <c r="H2162" s="103">
        <f>SUM(H2160:H2161)</f>
        <v>21336.850000000002</v>
      </c>
    </row>
    <row r="2163" spans="1:8" ht="18" customHeight="1">
      <c r="B2163" s="121">
        <v>10</v>
      </c>
    </row>
    <row r="2164" spans="1:8" ht="18" customHeight="1">
      <c r="A2164" s="159" t="s">
        <v>1621</v>
      </c>
    </row>
    <row r="2165" spans="1:8" ht="18" customHeight="1">
      <c r="A2165" s="159"/>
    </row>
    <row r="2166" spans="1:8" ht="18" customHeight="1">
      <c r="A2166" s="159"/>
    </row>
    <row r="2167" spans="1:8" ht="18" customHeight="1">
      <c r="A2167" s="282">
        <f>+A2146+1</f>
        <v>125</v>
      </c>
      <c r="B2167" s="1076" t="s">
        <v>1785</v>
      </c>
      <c r="C2167" s="1077"/>
      <c r="D2167" s="1077"/>
      <c r="E2167" s="1077"/>
      <c r="F2167" s="1077"/>
      <c r="G2167" s="1077"/>
      <c r="H2167" s="1077"/>
    </row>
    <row r="2168" spans="1:8" ht="18" customHeight="1">
      <c r="A2168" s="15" t="s">
        <v>1784</v>
      </c>
      <c r="B2168" s="1074" t="s">
        <v>1594</v>
      </c>
      <c r="C2168" s="1075"/>
      <c r="D2168" s="1075"/>
      <c r="E2168" s="1075"/>
      <c r="F2168" s="1075"/>
      <c r="G2168" s="1075"/>
      <c r="H2168" s="1075"/>
    </row>
    <row r="2169" spans="1:8" ht="31.5">
      <c r="A2169" s="869" t="s">
        <v>4087</v>
      </c>
      <c r="B2169" s="70" t="s">
        <v>3340</v>
      </c>
      <c r="C2169" s="70" t="s">
        <v>3341</v>
      </c>
      <c r="D2169" s="70" t="s">
        <v>3342</v>
      </c>
      <c r="E2169" s="70" t="s">
        <v>3343</v>
      </c>
      <c r="F2169" s="70" t="s">
        <v>3344</v>
      </c>
      <c r="G2169" s="70" t="s">
        <v>3345</v>
      </c>
      <c r="H2169" s="70" t="s">
        <v>1704</v>
      </c>
    </row>
    <row r="2170" spans="1:8" ht="18" customHeight="1">
      <c r="B2170" s="1067" t="s">
        <v>1705</v>
      </c>
      <c r="C2170" s="60" t="s">
        <v>610</v>
      </c>
      <c r="D2170" s="43">
        <v>13</v>
      </c>
      <c r="E2170" s="57" t="s">
        <v>1707</v>
      </c>
      <c r="F2170" s="111">
        <f>'update Rate'!F5</f>
        <v>525</v>
      </c>
      <c r="G2170" s="111">
        <f t="shared" ref="G2170:G2175" si="67">FLOOR(D2170*F2170,0.01)</f>
        <v>6825</v>
      </c>
      <c r="H2170" s="112"/>
    </row>
    <row r="2171" spans="1:8" ht="17.25">
      <c r="B2171" s="1070"/>
      <c r="C2171" s="58" t="s">
        <v>1647</v>
      </c>
      <c r="D2171" s="45">
        <v>4.5</v>
      </c>
      <c r="E2171" s="58" t="s">
        <v>1707</v>
      </c>
      <c r="F2171" s="65">
        <f>'update Rate'!F4</f>
        <v>375</v>
      </c>
      <c r="G2171" s="65">
        <f t="shared" si="67"/>
        <v>1687.5</v>
      </c>
      <c r="H2171" s="125">
        <f>SUM(G2170+G2171)</f>
        <v>8512.5</v>
      </c>
    </row>
    <row r="2172" spans="1:8" ht="17.25">
      <c r="B2172" s="1069" t="s">
        <v>2330</v>
      </c>
      <c r="C2172" s="57" t="s">
        <v>3292</v>
      </c>
      <c r="D2172" s="48">
        <v>5.6000000000000001E-2</v>
      </c>
      <c r="E2172" s="57" t="s">
        <v>804</v>
      </c>
      <c r="F2172" s="113">
        <f>'update Rate'!F15</f>
        <v>14200</v>
      </c>
      <c r="G2172" s="113">
        <f t="shared" si="67"/>
        <v>795.2</v>
      </c>
      <c r="H2172" s="112"/>
    </row>
    <row r="2173" spans="1:8" ht="18" customHeight="1">
      <c r="B2173" s="1095"/>
      <c r="C2173" s="55" t="s">
        <v>801</v>
      </c>
      <c r="D2173" s="54">
        <v>0.152</v>
      </c>
      <c r="E2173" s="55" t="s">
        <v>2530</v>
      </c>
      <c r="F2173" s="113">
        <f>'update Rate'!F8</f>
        <v>1659.57</v>
      </c>
      <c r="G2173" s="113">
        <f t="shared" si="67"/>
        <v>252.25</v>
      </c>
      <c r="H2173" s="125"/>
    </row>
    <row r="2174" spans="1:8" ht="18" customHeight="1">
      <c r="B2174" s="1095"/>
      <c r="C2174" s="55" t="s">
        <v>2273</v>
      </c>
      <c r="D2174" s="54">
        <v>3.2280000000000002</v>
      </c>
      <c r="E2174" s="55" t="s">
        <v>3096</v>
      </c>
      <c r="F2174" s="113">
        <f>FLOOR('update Rate'!F16/1000,0.01)</f>
        <v>23.75</v>
      </c>
      <c r="G2174" s="113">
        <f t="shared" si="67"/>
        <v>76.66</v>
      </c>
      <c r="H2174" s="125"/>
    </row>
    <row r="2175" spans="1:8" ht="18" customHeight="1">
      <c r="B2175" s="1070"/>
      <c r="C2175" s="58" t="s">
        <v>4055</v>
      </c>
      <c r="D2175" s="45">
        <v>11</v>
      </c>
      <c r="E2175" s="58" t="s">
        <v>3170</v>
      </c>
      <c r="F2175" s="65">
        <f>'update Rate'!$F$129</f>
        <v>624.08000000000004</v>
      </c>
      <c r="G2175" s="65">
        <f t="shared" si="67"/>
        <v>6864.88</v>
      </c>
      <c r="H2175" s="127">
        <f>SUM(G2172:G2175)</f>
        <v>7988.99</v>
      </c>
    </row>
    <row r="2176" spans="1:8" ht="15.75">
      <c r="F2176" s="42" t="s">
        <v>1708</v>
      </c>
      <c r="G2176" s="117"/>
      <c r="H2176" s="65">
        <f>SUM(H2171:H2175)</f>
        <v>16501.489999999998</v>
      </c>
    </row>
    <row r="2177" spans="1:8" ht="18" customHeight="1">
      <c r="B2177" s="1" t="s">
        <v>1710</v>
      </c>
      <c r="F2177" s="42" t="s">
        <v>1689</v>
      </c>
      <c r="G2177" s="117"/>
      <c r="H2177" s="103">
        <f>FLOOR(H2176*0.15,0.01)</f>
        <v>2475.2200000000003</v>
      </c>
    </row>
    <row r="2178" spans="1:8" ht="18" customHeight="1">
      <c r="A2178"/>
      <c r="B2178" s="147">
        <f>+H2178</f>
        <v>18976.71</v>
      </c>
      <c r="C2178" s="28" t="s">
        <v>3384</v>
      </c>
      <c r="D2178" s="103">
        <f>INT(B2178/B2179*100)/100</f>
        <v>1897.67</v>
      </c>
      <c r="E2178" s="1" t="s">
        <v>3385</v>
      </c>
      <c r="F2178" s="42" t="s">
        <v>1711</v>
      </c>
      <c r="G2178" s="117"/>
      <c r="H2178" s="103">
        <f>SUM(H2176:H2177)</f>
        <v>18976.71</v>
      </c>
    </row>
    <row r="2179" spans="1:8" ht="18" customHeight="1">
      <c r="B2179" s="121">
        <v>10</v>
      </c>
    </row>
    <row r="2180" spans="1:8" ht="18" customHeight="1">
      <c r="B2180" s="121"/>
    </row>
    <row r="2181" spans="1:8" ht="18" customHeight="1"/>
    <row r="2182" spans="1:8" ht="18" customHeight="1">
      <c r="A2182" s="282">
        <f>+A2167+1</f>
        <v>126</v>
      </c>
      <c r="B2182" s="1076" t="s">
        <v>1176</v>
      </c>
      <c r="C2182" s="1077"/>
      <c r="D2182" s="1077"/>
      <c r="E2182" s="1077"/>
      <c r="F2182" s="1077"/>
      <c r="G2182" s="1077"/>
      <c r="H2182" s="1077"/>
    </row>
    <row r="2183" spans="1:8" ht="18" customHeight="1">
      <c r="A2183" s="15" t="s">
        <v>662</v>
      </c>
      <c r="B2183" s="1074" t="s">
        <v>1594</v>
      </c>
      <c r="C2183" s="1075"/>
      <c r="D2183" s="1075"/>
      <c r="E2183" s="1075"/>
      <c r="F2183" s="1075"/>
      <c r="G2183" s="1075"/>
      <c r="H2183" s="1075"/>
    </row>
    <row r="2184" spans="1:8" ht="31.5">
      <c r="A2184" s="869" t="s">
        <v>4087</v>
      </c>
      <c r="B2184" s="70" t="s">
        <v>3340</v>
      </c>
      <c r="C2184" s="70" t="s">
        <v>3341</v>
      </c>
      <c r="D2184" s="70" t="s">
        <v>3342</v>
      </c>
      <c r="E2184" s="70" t="s">
        <v>3343</v>
      </c>
      <c r="F2184" s="70" t="s">
        <v>3344</v>
      </c>
      <c r="G2184" s="70" t="s">
        <v>3345</v>
      </c>
      <c r="H2184" s="70" t="s">
        <v>1704</v>
      </c>
    </row>
    <row r="2185" spans="1:8" ht="17.25">
      <c r="B2185" s="1067" t="s">
        <v>1705</v>
      </c>
      <c r="C2185" s="60" t="s">
        <v>610</v>
      </c>
      <c r="D2185" s="43">
        <v>13</v>
      </c>
      <c r="E2185" s="57" t="s">
        <v>1707</v>
      </c>
      <c r="F2185" s="111">
        <f>mason</f>
        <v>525</v>
      </c>
      <c r="G2185" s="111">
        <f t="shared" ref="G2185:G2191" si="68">FLOOR(D2185*F2185,0.01)</f>
        <v>6825</v>
      </c>
      <c r="H2185" s="112"/>
    </row>
    <row r="2186" spans="1:8" ht="17.25">
      <c r="B2186" s="1070"/>
      <c r="C2186" s="58" t="s">
        <v>1647</v>
      </c>
      <c r="D2186" s="45">
        <v>4.5</v>
      </c>
      <c r="E2186" s="58" t="s">
        <v>1707</v>
      </c>
      <c r="F2186" s="65">
        <f>'update Rate'!F4</f>
        <v>375</v>
      </c>
      <c r="G2186" s="65">
        <f t="shared" si="68"/>
        <v>1687.5</v>
      </c>
      <c r="H2186" s="125">
        <f>SUM(G2185+G2186)</f>
        <v>8512.5</v>
      </c>
    </row>
    <row r="2187" spans="1:8" ht="17.25">
      <c r="B2187" s="1069" t="s">
        <v>2330</v>
      </c>
      <c r="C2187" s="57" t="s">
        <v>3292</v>
      </c>
      <c r="D2187" s="48">
        <v>5.6000000000000001E-2</v>
      </c>
      <c r="E2187" s="57" t="s">
        <v>804</v>
      </c>
      <c r="F2187" s="114">
        <f>'update Rate'!F15</f>
        <v>14200</v>
      </c>
      <c r="G2187" s="114">
        <f t="shared" si="68"/>
        <v>795.2</v>
      </c>
      <c r="H2187" s="112"/>
    </row>
    <row r="2188" spans="1:8" ht="17.25">
      <c r="B2188" s="1095"/>
      <c r="C2188" s="55" t="s">
        <v>801</v>
      </c>
      <c r="D2188" s="54">
        <v>0.152</v>
      </c>
      <c r="E2188" s="55" t="s">
        <v>2530</v>
      </c>
      <c r="F2188" s="113">
        <f>'update Rate'!F8</f>
        <v>1659.57</v>
      </c>
      <c r="G2188" s="113">
        <f t="shared" si="68"/>
        <v>252.25</v>
      </c>
      <c r="H2188" s="125"/>
    </row>
    <row r="2189" spans="1:8" ht="18" customHeight="1">
      <c r="B2189" s="1095"/>
      <c r="C2189" s="55" t="s">
        <v>2273</v>
      </c>
      <c r="D2189" s="54">
        <v>3.2280000000000002</v>
      </c>
      <c r="E2189" s="55" t="s">
        <v>3096</v>
      </c>
      <c r="F2189" s="113">
        <f>FLOOR('update Rate'!F16/1000,0.01)</f>
        <v>23.75</v>
      </c>
      <c r="G2189" s="113">
        <f t="shared" si="68"/>
        <v>76.66</v>
      </c>
      <c r="H2189" s="125"/>
    </row>
    <row r="2190" spans="1:8" ht="18" customHeight="1">
      <c r="B2190" s="1095"/>
      <c r="C2190" s="55" t="s">
        <v>4055</v>
      </c>
      <c r="D2190" s="44">
        <v>10.48</v>
      </c>
      <c r="E2190" s="55" t="s">
        <v>3170</v>
      </c>
      <c r="F2190" s="113">
        <f>'update Rate'!$F$129</f>
        <v>624.08000000000004</v>
      </c>
      <c r="G2190" s="113">
        <f t="shared" si="68"/>
        <v>6540.35</v>
      </c>
      <c r="H2190" s="125"/>
    </row>
    <row r="2191" spans="1:8" ht="17.25">
      <c r="B2191" s="1070"/>
      <c r="C2191" s="58" t="s">
        <v>661</v>
      </c>
      <c r="D2191" s="45">
        <v>0.52</v>
      </c>
      <c r="E2191" s="58" t="s">
        <v>3170</v>
      </c>
      <c r="F2191" s="65">
        <f>'update Rate'!F130</f>
        <v>1614</v>
      </c>
      <c r="G2191" s="65">
        <f t="shared" si="68"/>
        <v>839.28</v>
      </c>
      <c r="H2191" s="127">
        <f>SUM(G2187:G2191)</f>
        <v>8503.7400000000016</v>
      </c>
    </row>
    <row r="2192" spans="1:8" ht="18" customHeight="1">
      <c r="F2192" s="42" t="s">
        <v>1708</v>
      </c>
      <c r="G2192" s="117"/>
      <c r="H2192" s="65">
        <f>SUM(H2186:H2191)</f>
        <v>17016.240000000002</v>
      </c>
    </row>
    <row r="2193" spans="1:8" ht="18" customHeight="1">
      <c r="B2193" s="1" t="s">
        <v>1710</v>
      </c>
      <c r="F2193" s="42" t="s">
        <v>1689</v>
      </c>
      <c r="G2193" s="117"/>
      <c r="H2193" s="103">
        <f>FLOOR(H2192*0.15,0.01)</f>
        <v>2552.4299999999998</v>
      </c>
    </row>
    <row r="2194" spans="1:8" ht="18" customHeight="1">
      <c r="A2194"/>
      <c r="B2194" s="147">
        <f>+H2194</f>
        <v>19568.670000000002</v>
      </c>
      <c r="C2194" s="28" t="s">
        <v>3384</v>
      </c>
      <c r="D2194" s="103">
        <f>INT(B2194/B2195*100)/100</f>
        <v>1956.86</v>
      </c>
      <c r="E2194" s="1" t="s">
        <v>3385</v>
      </c>
      <c r="F2194" s="42" t="s">
        <v>1711</v>
      </c>
      <c r="G2194" s="117"/>
      <c r="H2194" s="103">
        <f>SUM(H2192:H2193)</f>
        <v>19568.670000000002</v>
      </c>
    </row>
    <row r="2195" spans="1:8">
      <c r="B2195" s="121">
        <v>10</v>
      </c>
    </row>
    <row r="2196" spans="1:8">
      <c r="B2196" s="121"/>
    </row>
    <row r="2197" spans="1:8">
      <c r="B2197" s="121"/>
    </row>
    <row r="2198" spans="1:8" ht="19.5">
      <c r="A2198" s="32"/>
      <c r="B2198" s="1077" t="s">
        <v>3858</v>
      </c>
      <c r="C2198" s="1077"/>
      <c r="D2198" s="1077"/>
      <c r="E2198" s="1077"/>
      <c r="F2198" s="1077"/>
      <c r="G2198" s="1077"/>
      <c r="H2198" s="1077"/>
    </row>
    <row r="2199" spans="1:8" ht="19.5">
      <c r="A2199" s="282">
        <f>A2182+1</f>
        <v>127</v>
      </c>
      <c r="B2199" s="1076" t="s">
        <v>1787</v>
      </c>
      <c r="C2199" s="1077"/>
      <c r="D2199" s="1077"/>
      <c r="E2199" s="1077"/>
      <c r="F2199" s="1077"/>
      <c r="G2199" s="1077"/>
      <c r="H2199" s="1077"/>
    </row>
    <row r="2200" spans="1:8">
      <c r="A2200" s="15" t="s">
        <v>1786</v>
      </c>
      <c r="B2200" s="1074" t="s">
        <v>1594</v>
      </c>
      <c r="C2200" s="1075"/>
      <c r="D2200" s="1075"/>
      <c r="E2200" s="1075"/>
      <c r="F2200" s="1075"/>
      <c r="G2200" s="1075"/>
      <c r="H2200" s="1075"/>
    </row>
    <row r="2201" spans="1:8" ht="31.5">
      <c r="A2201" s="869" t="s">
        <v>4088</v>
      </c>
      <c r="B2201" s="70" t="s">
        <v>3340</v>
      </c>
      <c r="C2201" s="70" t="s">
        <v>3341</v>
      </c>
      <c r="D2201" s="70" t="s">
        <v>3342</v>
      </c>
      <c r="E2201" s="70" t="s">
        <v>3343</v>
      </c>
      <c r="F2201" s="70" t="s">
        <v>3344</v>
      </c>
      <c r="G2201" s="70" t="s">
        <v>3345</v>
      </c>
      <c r="H2201" s="70" t="s">
        <v>1704</v>
      </c>
    </row>
    <row r="2202" spans="1:8" ht="17.25">
      <c r="B2202" s="1067" t="s">
        <v>1705</v>
      </c>
      <c r="C2202" s="60" t="s">
        <v>610</v>
      </c>
      <c r="D2202" s="43">
        <v>2</v>
      </c>
      <c r="E2202" s="57" t="s">
        <v>1707</v>
      </c>
      <c r="F2202" s="111">
        <f>'update Rate'!F5</f>
        <v>525</v>
      </c>
      <c r="G2202" s="111">
        <f>FLOOR(D2202*F2202,0.01)</f>
        <v>1050</v>
      </c>
      <c r="H2202" s="112"/>
    </row>
    <row r="2203" spans="1:8" ht="17.25">
      <c r="B2203" s="1070"/>
      <c r="C2203" s="58" t="s">
        <v>1647</v>
      </c>
      <c r="D2203" s="45">
        <v>4.5</v>
      </c>
      <c r="E2203" s="58" t="s">
        <v>1707</v>
      </c>
      <c r="F2203" s="65">
        <f>'update Rate'!F4</f>
        <v>375</v>
      </c>
      <c r="G2203" s="65">
        <f>FLOOR(D2203*F2203,0.01)</f>
        <v>1687.5</v>
      </c>
      <c r="H2203" s="125">
        <f>SUM(G2202+G2203)</f>
        <v>2737.5</v>
      </c>
    </row>
    <row r="2204" spans="1:8" ht="18" customHeight="1">
      <c r="B2204" s="1069" t="s">
        <v>2330</v>
      </c>
      <c r="C2204" s="57" t="s">
        <v>1507</v>
      </c>
      <c r="D2204" s="48">
        <v>6.3E-2</v>
      </c>
      <c r="E2204" s="57" t="s">
        <v>804</v>
      </c>
      <c r="F2204" s="113">
        <f>'update Rate'!F15</f>
        <v>14200</v>
      </c>
      <c r="G2204" s="113">
        <f>FLOOR(D2204*F2204,0.01)</f>
        <v>894.6</v>
      </c>
      <c r="H2204" s="86"/>
    </row>
    <row r="2205" spans="1:8" ht="18" customHeight="1">
      <c r="B2205" s="1095"/>
      <c r="C2205" s="55" t="s">
        <v>801</v>
      </c>
      <c r="D2205" s="54">
        <v>0.17100000000000001</v>
      </c>
      <c r="E2205" s="55" t="s">
        <v>2530</v>
      </c>
      <c r="F2205" s="113">
        <f>'update Rate'!F8</f>
        <v>1659.57</v>
      </c>
      <c r="G2205" s="113">
        <f>FLOOR(D2205*F2205,0.01)</f>
        <v>283.78000000000003</v>
      </c>
      <c r="H2205" s="88"/>
    </row>
    <row r="2206" spans="1:8" ht="18" customHeight="1">
      <c r="B2206" s="1070"/>
      <c r="C2206" s="58" t="s">
        <v>1788</v>
      </c>
      <c r="D2206" s="45">
        <v>11</v>
      </c>
      <c r="E2206" s="58" t="s">
        <v>3170</v>
      </c>
      <c r="F2206" s="65">
        <f>'update Rate'!F24</f>
        <v>860.8</v>
      </c>
      <c r="G2206" s="65">
        <f>FLOOR(D2206*F2206,0.01)</f>
        <v>9468.8000000000011</v>
      </c>
      <c r="H2206" s="127">
        <f>SUM(G2204:G2206)</f>
        <v>10647.18</v>
      </c>
    </row>
    <row r="2207" spans="1:8" ht="15.75">
      <c r="F2207" s="42" t="s">
        <v>1708</v>
      </c>
      <c r="G2207" s="42"/>
      <c r="H2207" s="65">
        <f>SUM(H2203:H2206)</f>
        <v>13384.68</v>
      </c>
    </row>
    <row r="2208" spans="1:8" ht="18" customHeight="1">
      <c r="B2208" s="1" t="s">
        <v>1710</v>
      </c>
      <c r="F2208" s="42" t="s">
        <v>1689</v>
      </c>
      <c r="G2208" s="42"/>
      <c r="H2208" s="103">
        <f>FLOOR(H2207*0.15,0.01)</f>
        <v>2007.7</v>
      </c>
    </row>
    <row r="2209" spans="1:8" ht="18" customHeight="1">
      <c r="A2209"/>
      <c r="B2209" s="147">
        <f>+H2209</f>
        <v>15392.380000000001</v>
      </c>
      <c r="C2209" s="28" t="s">
        <v>3384</v>
      </c>
      <c r="D2209" s="103">
        <f>INT(B2209/B2210*100)/100</f>
        <v>1539.23</v>
      </c>
      <c r="E2209" s="1" t="s">
        <v>3385</v>
      </c>
      <c r="F2209" s="42" t="s">
        <v>1711</v>
      </c>
      <c r="G2209" s="42"/>
      <c r="H2209" s="103">
        <f>SUM(H2207:H2208)</f>
        <v>15392.380000000001</v>
      </c>
    </row>
    <row r="2210" spans="1:8" ht="13.5" customHeight="1">
      <c r="A2210" s="33"/>
      <c r="B2210" s="121">
        <v>10</v>
      </c>
      <c r="F2210" s="142"/>
      <c r="G2210" s="142"/>
      <c r="H2210" s="142"/>
    </row>
    <row r="2211" spans="1:8" ht="13.5" customHeight="1">
      <c r="A2211" s="33"/>
      <c r="B2211" s="121"/>
      <c r="F2211" s="766"/>
      <c r="G2211" s="766"/>
      <c r="H2211" s="766"/>
    </row>
    <row r="2212" spans="1:8" ht="19.5">
      <c r="A2212" s="282">
        <f>+A2199+1</f>
        <v>128</v>
      </c>
      <c r="B2212" s="1076" t="s">
        <v>3859</v>
      </c>
      <c r="C2212" s="1077"/>
      <c r="D2212" s="1077"/>
      <c r="E2212" s="1077"/>
      <c r="F2212" s="1077"/>
      <c r="G2212" s="1077"/>
      <c r="H2212" s="1077"/>
    </row>
    <row r="2213" spans="1:8" ht="18" customHeight="1">
      <c r="A2213" s="15" t="s">
        <v>1789</v>
      </c>
      <c r="B2213" s="1100" t="s">
        <v>1594</v>
      </c>
      <c r="C2213" s="1083"/>
      <c r="D2213" s="1083"/>
      <c r="E2213" s="1083"/>
      <c r="F2213" s="1083"/>
      <c r="G2213" s="1083"/>
      <c r="H2213" s="1083"/>
    </row>
    <row r="2214" spans="1:8" ht="31.5">
      <c r="A2214" s="869" t="s">
        <v>4089</v>
      </c>
      <c r="B2214" s="70" t="s">
        <v>3340</v>
      </c>
      <c r="C2214" s="70" t="s">
        <v>3341</v>
      </c>
      <c r="D2214" s="70" t="s">
        <v>3342</v>
      </c>
      <c r="E2214" s="70" t="s">
        <v>3343</v>
      </c>
      <c r="F2214" s="70" t="s">
        <v>3344</v>
      </c>
      <c r="G2214" s="70" t="s">
        <v>3345</v>
      </c>
      <c r="H2214" s="70" t="s">
        <v>1704</v>
      </c>
    </row>
    <row r="2215" spans="1:8" ht="17.25">
      <c r="B2215" s="1067" t="s">
        <v>1705</v>
      </c>
      <c r="C2215" s="60" t="s">
        <v>610</v>
      </c>
      <c r="D2215" s="43">
        <v>1</v>
      </c>
      <c r="E2215" s="57" t="s">
        <v>1707</v>
      </c>
      <c r="F2215" s="111">
        <f>'update Rate'!F5</f>
        <v>525</v>
      </c>
      <c r="G2215" s="111">
        <f>FLOOR(D2215*F2215,0.01)</f>
        <v>525</v>
      </c>
      <c r="H2215" s="112"/>
    </row>
    <row r="2216" spans="1:8" ht="18" customHeight="1">
      <c r="B2216" s="1070"/>
      <c r="C2216" s="58" t="s">
        <v>1647</v>
      </c>
      <c r="D2216" s="45">
        <v>3</v>
      </c>
      <c r="E2216" s="58" t="s">
        <v>1707</v>
      </c>
      <c r="F2216" s="65">
        <f>'update Rate'!F4</f>
        <v>375</v>
      </c>
      <c r="G2216" s="65">
        <f>FLOOR(D2216*F2216,0.01)</f>
        <v>1125</v>
      </c>
      <c r="H2216" s="127">
        <f>SUM(G2215+G2216)</f>
        <v>1650</v>
      </c>
    </row>
    <row r="2217" spans="1:8" ht="18" customHeight="1">
      <c r="B2217" s="1069" t="s">
        <v>2330</v>
      </c>
      <c r="C2217" s="57" t="s">
        <v>3657</v>
      </c>
      <c r="D2217" s="43">
        <v>11</v>
      </c>
      <c r="E2217" s="57" t="s">
        <v>3170</v>
      </c>
      <c r="F2217" s="113">
        <f>'update Rate'!$F$24</f>
        <v>860.8</v>
      </c>
      <c r="G2217" s="113">
        <f>FLOOR(D2217*F2217,0.01)</f>
        <v>9468.8000000000011</v>
      </c>
      <c r="H2217" s="88"/>
    </row>
    <row r="2218" spans="1:8" ht="18" customHeight="1">
      <c r="B2218" s="1070"/>
      <c r="C2218" s="58" t="s">
        <v>801</v>
      </c>
      <c r="D2218" s="45">
        <v>0.71</v>
      </c>
      <c r="E2218" s="58" t="s">
        <v>2530</v>
      </c>
      <c r="F2218" s="65">
        <f>'update Rate'!F8</f>
        <v>1659.57</v>
      </c>
      <c r="G2218" s="65">
        <f>FLOOR(D2218*F2218,0.01)</f>
        <v>1178.29</v>
      </c>
      <c r="H2218" s="89">
        <f>SUM(G2217:G2218)</f>
        <v>10647.09</v>
      </c>
    </row>
    <row r="2219" spans="1:8" ht="18" customHeight="1">
      <c r="F2219" s="42" t="s">
        <v>1708</v>
      </c>
      <c r="G2219" s="42"/>
      <c r="H2219" s="45">
        <f>SUM(H2216:H2218)</f>
        <v>12297.09</v>
      </c>
    </row>
    <row r="2220" spans="1:8" ht="18" customHeight="1">
      <c r="B2220" s="1" t="s">
        <v>1710</v>
      </c>
      <c r="F2220" s="42" t="s">
        <v>1689</v>
      </c>
      <c r="G2220" s="42"/>
      <c r="H2220" s="103">
        <f>FLOOR(H2219*0.15,0.01)</f>
        <v>1844.56</v>
      </c>
    </row>
    <row r="2221" spans="1:8" ht="17.25">
      <c r="A2221"/>
      <c r="B2221" s="147">
        <f>+H2221</f>
        <v>14141.65</v>
      </c>
      <c r="C2221" s="28" t="s">
        <v>3384</v>
      </c>
      <c r="D2221" s="103">
        <f>INT(B2221/B2222*100)/100</f>
        <v>1414.16</v>
      </c>
      <c r="E2221" s="1" t="s">
        <v>3385</v>
      </c>
      <c r="F2221" s="42" t="s">
        <v>1711</v>
      </c>
      <c r="G2221" s="42"/>
      <c r="H2221" s="46">
        <f>SUM(H2219:H2220)</f>
        <v>14141.65</v>
      </c>
    </row>
    <row r="2222" spans="1:8" ht="18" customHeight="1">
      <c r="B2222" s="121">
        <v>10</v>
      </c>
    </row>
    <row r="2223" spans="1:8" ht="18" customHeight="1">
      <c r="B2223" s="121"/>
    </row>
    <row r="2224" spans="1:8" ht="18" customHeight="1">
      <c r="B2224" s="121"/>
    </row>
    <row r="2225" spans="1:8" ht="18" customHeight="1">
      <c r="A2225" s="282">
        <f>A2212+1</f>
        <v>129</v>
      </c>
      <c r="B2225" s="1071" t="s">
        <v>2496</v>
      </c>
      <c r="C2225" s="1072"/>
      <c r="D2225" s="1072"/>
      <c r="E2225" s="1072"/>
      <c r="F2225" s="1072"/>
      <c r="G2225" s="1072"/>
      <c r="H2225" s="1072"/>
    </row>
    <row r="2226" spans="1:8" ht="18" customHeight="1">
      <c r="A2226" s="15" t="s">
        <v>1790</v>
      </c>
      <c r="B2226" s="1074" t="s">
        <v>1594</v>
      </c>
      <c r="C2226" s="1075"/>
      <c r="D2226" s="1075"/>
      <c r="E2226" s="1075"/>
      <c r="F2226" s="1075"/>
      <c r="G2226" s="1075"/>
      <c r="H2226" s="1075"/>
    </row>
    <row r="2227" spans="1:8">
      <c r="A2227" s="869" t="s">
        <v>4090</v>
      </c>
      <c r="B2227" s="3"/>
      <c r="F2227" s="3"/>
      <c r="G2227" s="3"/>
      <c r="H2227" s="3"/>
    </row>
    <row r="2228" spans="1:8" ht="31.5">
      <c r="B2228" s="70" t="s">
        <v>3340</v>
      </c>
      <c r="C2228" s="70" t="s">
        <v>3341</v>
      </c>
      <c r="D2228" s="70" t="s">
        <v>3342</v>
      </c>
      <c r="E2228" s="70" t="s">
        <v>3343</v>
      </c>
      <c r="F2228" s="70" t="s">
        <v>3344</v>
      </c>
      <c r="G2228" s="70" t="s">
        <v>3345</v>
      </c>
      <c r="H2228" s="70" t="s">
        <v>1704</v>
      </c>
    </row>
    <row r="2229" spans="1:8" ht="17.25">
      <c r="B2229" s="1067" t="s">
        <v>1705</v>
      </c>
      <c r="C2229" s="60" t="s">
        <v>610</v>
      </c>
      <c r="D2229" s="43">
        <v>2</v>
      </c>
      <c r="E2229" s="57" t="s">
        <v>1707</v>
      </c>
      <c r="F2229" s="111">
        <f>'update Rate'!F5</f>
        <v>525</v>
      </c>
      <c r="G2229" s="111">
        <f>FLOOR(D2229*F2229,0.01)</f>
        <v>1050</v>
      </c>
      <c r="H2229" s="112"/>
    </row>
    <row r="2230" spans="1:8" ht="17.25">
      <c r="B2230" s="1070"/>
      <c r="C2230" s="58" t="s">
        <v>1647</v>
      </c>
      <c r="D2230" s="45">
        <v>4.5</v>
      </c>
      <c r="E2230" s="58" t="s">
        <v>1707</v>
      </c>
      <c r="F2230" s="65">
        <f>'update Rate'!F4</f>
        <v>375</v>
      </c>
      <c r="G2230" s="65">
        <f>FLOOR(D2230*F2230,0.01)</f>
        <v>1687.5</v>
      </c>
      <c r="H2230" s="125">
        <f>SUM(G2229+G2230)</f>
        <v>2737.5</v>
      </c>
    </row>
    <row r="2231" spans="1:8" ht="18" customHeight="1">
      <c r="B2231" s="1069" t="s">
        <v>2330</v>
      </c>
      <c r="C2231" s="57" t="s">
        <v>1791</v>
      </c>
      <c r="D2231" s="43">
        <v>11</v>
      </c>
      <c r="E2231" s="57" t="s">
        <v>3170</v>
      </c>
      <c r="F2231" s="113">
        <f>'update Rate'!F30</f>
        <v>667.12</v>
      </c>
      <c r="G2231" s="113">
        <f>FLOOR(D2231*F2231,0.01)</f>
        <v>7338.32</v>
      </c>
      <c r="H2231" s="86"/>
    </row>
    <row r="2232" spans="1:8" ht="18" customHeight="1">
      <c r="B2232" s="1095"/>
      <c r="C2232" s="55" t="s">
        <v>1650</v>
      </c>
      <c r="D2232" s="54">
        <v>0.06</v>
      </c>
      <c r="E2232" s="55" t="s">
        <v>804</v>
      </c>
      <c r="F2232" s="113">
        <f>'update Rate'!F15</f>
        <v>14200</v>
      </c>
      <c r="G2232" s="113">
        <f>FLOOR(D2232*F2232,0.01)</f>
        <v>852</v>
      </c>
      <c r="H2232" s="88"/>
    </row>
    <row r="2233" spans="1:8" ht="18" customHeight="1">
      <c r="B2233" s="1070"/>
      <c r="C2233" s="58" t="s">
        <v>801</v>
      </c>
      <c r="D2233" s="51">
        <v>0.16500000000000001</v>
      </c>
      <c r="E2233" s="58" t="s">
        <v>2530</v>
      </c>
      <c r="F2233" s="65">
        <f>'update Rate'!F8</f>
        <v>1659.57</v>
      </c>
      <c r="G2233" s="65">
        <f>FLOOR(D2233*F2233,0.01)</f>
        <v>273.82</v>
      </c>
      <c r="H2233" s="127">
        <f>SUM(G2231:G2233)</f>
        <v>8464.14</v>
      </c>
    </row>
    <row r="2234" spans="1:8" ht="18" customHeight="1">
      <c r="F2234" s="42" t="s">
        <v>1708</v>
      </c>
      <c r="G2234" s="42"/>
      <c r="H2234" s="65">
        <f>SUM(H2230:H2233)</f>
        <v>11201.64</v>
      </c>
    </row>
    <row r="2235" spans="1:8" ht="25.5" customHeight="1">
      <c r="B2235" s="1" t="s">
        <v>1710</v>
      </c>
      <c r="F2235" s="42" t="s">
        <v>1689</v>
      </c>
      <c r="G2235" s="42"/>
      <c r="H2235" s="103">
        <f>FLOOR(H2234*0.15,0.01)</f>
        <v>1680.24</v>
      </c>
    </row>
    <row r="2236" spans="1:8" ht="15.75">
      <c r="A2236"/>
      <c r="B2236" s="147">
        <f>+H2236</f>
        <v>12881.88</v>
      </c>
      <c r="C2236" s="28" t="s">
        <v>3384</v>
      </c>
      <c r="D2236" s="103">
        <f>INT(B2236/B2237*100)/100</f>
        <v>1288.18</v>
      </c>
      <c r="E2236" s="1" t="s">
        <v>3385</v>
      </c>
      <c r="F2236" s="42" t="s">
        <v>1711</v>
      </c>
      <c r="G2236" s="42"/>
      <c r="H2236" s="103">
        <f>SUM(H2234:H2235)</f>
        <v>12881.88</v>
      </c>
    </row>
    <row r="2237" spans="1:8">
      <c r="B2237" s="121">
        <v>10</v>
      </c>
    </row>
    <row r="2238" spans="1:8">
      <c r="B2238" s="121"/>
    </row>
    <row r="2239" spans="1:8">
      <c r="B2239" s="121"/>
    </row>
    <row r="2240" spans="1:8" ht="18" customHeight="1">
      <c r="A2240" s="282">
        <f>+A2225+1</f>
        <v>130</v>
      </c>
      <c r="B2240" s="1071" t="s">
        <v>2932</v>
      </c>
      <c r="C2240" s="1072"/>
      <c r="D2240" s="1072"/>
      <c r="E2240" s="1072"/>
      <c r="F2240" s="1072"/>
      <c r="G2240" s="1072"/>
      <c r="H2240" s="1072"/>
    </row>
    <row r="2241" spans="1:8" ht="18" customHeight="1">
      <c r="A2241" s="15" t="s">
        <v>1792</v>
      </c>
      <c r="B2241" s="1076" t="s">
        <v>1112</v>
      </c>
      <c r="C2241" s="1077"/>
      <c r="D2241" s="1077"/>
      <c r="E2241" s="1077"/>
      <c r="F2241" s="1077"/>
      <c r="G2241" s="1077"/>
      <c r="H2241" s="1077"/>
    </row>
    <row r="2242" spans="1:8" ht="18" customHeight="1">
      <c r="A2242" s="869" t="s">
        <v>4091</v>
      </c>
      <c r="B2242" s="1075" t="s">
        <v>1594</v>
      </c>
      <c r="C2242" s="1075"/>
      <c r="D2242" s="1075"/>
      <c r="E2242" s="1075"/>
      <c r="F2242" s="1075"/>
      <c r="G2242" s="1075"/>
      <c r="H2242" s="1075"/>
    </row>
    <row r="2243" spans="1:8" ht="19.5">
      <c r="B2243" s="3"/>
      <c r="C2243" s="38"/>
      <c r="D2243" s="38"/>
      <c r="E2243" s="38"/>
      <c r="F2243" s="3"/>
      <c r="G2243" s="3"/>
      <c r="H2243" s="3"/>
    </row>
    <row r="2244" spans="1:8" ht="31.5">
      <c r="B2244" s="70" t="s">
        <v>3340</v>
      </c>
      <c r="C2244" s="70" t="s">
        <v>3341</v>
      </c>
      <c r="D2244" s="70" t="s">
        <v>3342</v>
      </c>
      <c r="E2244" s="70" t="s">
        <v>3343</v>
      </c>
      <c r="F2244" s="70" t="s">
        <v>3344</v>
      </c>
      <c r="G2244" s="70" t="s">
        <v>3345</v>
      </c>
      <c r="H2244" s="70" t="s">
        <v>1704</v>
      </c>
    </row>
    <row r="2245" spans="1:8" ht="16.5">
      <c r="B2245" s="1067" t="s">
        <v>1705</v>
      </c>
      <c r="C2245" s="60" t="s">
        <v>610</v>
      </c>
      <c r="D2245" s="48">
        <v>4.5</v>
      </c>
      <c r="E2245" s="11" t="s">
        <v>1707</v>
      </c>
      <c r="F2245" s="111">
        <f>'update Rate'!F5</f>
        <v>525</v>
      </c>
      <c r="G2245" s="111">
        <f t="shared" ref="G2245:G2251" si="69">FLOOR(D2245*F2245,0.01)</f>
        <v>2362.5</v>
      </c>
      <c r="H2245" s="112"/>
    </row>
    <row r="2246" spans="1:8" ht="18" customHeight="1">
      <c r="B2246" s="1070"/>
      <c r="C2246" s="58" t="s">
        <v>1647</v>
      </c>
      <c r="D2246" s="51">
        <v>4.5</v>
      </c>
      <c r="E2246" s="58" t="s">
        <v>1707</v>
      </c>
      <c r="F2246" s="65">
        <f>'update Rate'!F4</f>
        <v>375</v>
      </c>
      <c r="G2246" s="65">
        <f t="shared" si="69"/>
        <v>1687.5</v>
      </c>
      <c r="H2246" s="125">
        <f>SUM(G2245+G2246)</f>
        <v>4050</v>
      </c>
    </row>
    <row r="2247" spans="1:8" ht="18" customHeight="1">
      <c r="B2247" s="1069" t="s">
        <v>2330</v>
      </c>
      <c r="C2247" s="57" t="s">
        <v>1113</v>
      </c>
      <c r="D2247" s="43">
        <v>440</v>
      </c>
      <c r="E2247" s="57" t="s">
        <v>803</v>
      </c>
      <c r="F2247" s="114">
        <f>'update Rate'!F13</f>
        <v>12</v>
      </c>
      <c r="G2247" s="113">
        <f t="shared" si="69"/>
        <v>5280</v>
      </c>
      <c r="H2247" s="86"/>
    </row>
    <row r="2248" spans="1:8" ht="17.25">
      <c r="B2248" s="1095"/>
      <c r="C2248" s="55" t="s">
        <v>2086</v>
      </c>
      <c r="D2248" s="54">
        <v>0.122</v>
      </c>
      <c r="E2248" s="55" t="s">
        <v>2530</v>
      </c>
      <c r="F2248" s="113">
        <f>'update Rate'!$F$140*640</f>
        <v>19200</v>
      </c>
      <c r="G2248" s="113">
        <f t="shared" si="69"/>
        <v>2342.4</v>
      </c>
      <c r="H2248" s="88"/>
    </row>
    <row r="2249" spans="1:8" ht="18" customHeight="1">
      <c r="B2249" s="1095"/>
      <c r="C2249" s="55" t="s">
        <v>1114</v>
      </c>
      <c r="D2249" s="54">
        <v>0.24399999999999999</v>
      </c>
      <c r="E2249" s="55" t="s">
        <v>2530</v>
      </c>
      <c r="F2249" s="44">
        <f>'update Rate'!$F$143</f>
        <v>1121.49</v>
      </c>
      <c r="G2249" s="113">
        <f t="shared" si="69"/>
        <v>273.64</v>
      </c>
      <c r="H2249" s="88"/>
    </row>
    <row r="2250" spans="1:8" ht="18" customHeight="1">
      <c r="B2250" s="1095"/>
      <c r="C2250" s="55" t="s">
        <v>1650</v>
      </c>
      <c r="D2250" s="54">
        <v>1.6E-2</v>
      </c>
      <c r="E2250" s="55" t="s">
        <v>804</v>
      </c>
      <c r="F2250" s="113">
        <f>'update Rate'!F15</f>
        <v>14200</v>
      </c>
      <c r="G2250" s="113">
        <f t="shared" si="69"/>
        <v>227.20000000000002</v>
      </c>
      <c r="H2250" s="88"/>
    </row>
    <row r="2251" spans="1:8" ht="17.25">
      <c r="B2251" s="1070"/>
      <c r="C2251" s="58" t="s">
        <v>801</v>
      </c>
      <c r="D2251" s="45">
        <v>0.11</v>
      </c>
      <c r="E2251" s="58" t="s">
        <v>2530</v>
      </c>
      <c r="F2251" s="65">
        <f>'update Rate'!F8</f>
        <v>1659.57</v>
      </c>
      <c r="G2251" s="65">
        <f t="shared" si="69"/>
        <v>182.55</v>
      </c>
      <c r="H2251" s="127">
        <f>SUM(G2247:G2251)</f>
        <v>8305.7899999999991</v>
      </c>
    </row>
    <row r="2252" spans="1:8" ht="18" customHeight="1">
      <c r="F2252" s="42" t="s">
        <v>1708</v>
      </c>
      <c r="G2252" s="42"/>
      <c r="H2252" s="65">
        <f>SUM(H2246:H2251)</f>
        <v>12355.789999999999</v>
      </c>
    </row>
    <row r="2253" spans="1:8" ht="18" customHeight="1">
      <c r="B2253" s="1" t="s">
        <v>1710</v>
      </c>
      <c r="F2253" s="42" t="s">
        <v>1689</v>
      </c>
      <c r="G2253" s="42"/>
      <c r="H2253" s="103">
        <f>FLOOR(H2252*0.15,0.01)</f>
        <v>1853.3600000000001</v>
      </c>
    </row>
    <row r="2254" spans="1:8" ht="15.75">
      <c r="A2254"/>
      <c r="B2254" s="147">
        <f>+H2254</f>
        <v>14209.15</v>
      </c>
      <c r="C2254" s="28" t="s">
        <v>3384</v>
      </c>
      <c r="D2254" s="103">
        <f>INT(B2254/B2255*100)/100</f>
        <v>1420.91</v>
      </c>
      <c r="E2254" s="1" t="s">
        <v>3385</v>
      </c>
      <c r="F2254" s="42" t="s">
        <v>1711</v>
      </c>
      <c r="G2254" s="42"/>
      <c r="H2254" s="103">
        <f>SUM(H2252:H2253)</f>
        <v>14209.15</v>
      </c>
    </row>
    <row r="2255" spans="1:8">
      <c r="B2255" s="121">
        <v>10</v>
      </c>
    </row>
    <row r="2256" spans="1:8">
      <c r="A2256" s="110" t="s">
        <v>2933</v>
      </c>
    </row>
    <row r="2257" spans="1:8" ht="15" customHeight="1"/>
    <row r="2258" spans="1:8" ht="19.5">
      <c r="A2258" s="32"/>
      <c r="B2258" s="1077" t="s">
        <v>2996</v>
      </c>
      <c r="C2258" s="1077"/>
      <c r="D2258" s="1077"/>
      <c r="E2258" s="1077"/>
      <c r="F2258" s="1077"/>
      <c r="G2258" s="1077"/>
      <c r="H2258" s="1077"/>
    </row>
    <row r="2259" spans="1:8" ht="18" customHeight="1">
      <c r="A2259" s="282">
        <f>+A2240+1</f>
        <v>131</v>
      </c>
      <c r="B2259" s="1076" t="s">
        <v>2997</v>
      </c>
      <c r="C2259" s="1077"/>
      <c r="D2259" s="1077"/>
      <c r="E2259" s="1077"/>
      <c r="F2259" s="1077"/>
      <c r="G2259" s="1077"/>
      <c r="H2259" s="1077"/>
    </row>
    <row r="2260" spans="1:8">
      <c r="A2260" s="15" t="s">
        <v>1115</v>
      </c>
      <c r="B2260" s="1100" t="s">
        <v>1594</v>
      </c>
      <c r="C2260" s="1083"/>
      <c r="D2260" s="1083"/>
      <c r="E2260" s="1083"/>
      <c r="F2260" s="1083"/>
      <c r="G2260" s="1083"/>
      <c r="H2260" s="1083"/>
    </row>
    <row r="2261" spans="1:8" ht="31.5">
      <c r="A2261" s="869" t="s">
        <v>4092</v>
      </c>
      <c r="B2261" s="70" t="s">
        <v>3340</v>
      </c>
      <c r="C2261" s="70" t="s">
        <v>3341</v>
      </c>
      <c r="D2261" s="70" t="s">
        <v>3342</v>
      </c>
      <c r="E2261" s="70" t="s">
        <v>3343</v>
      </c>
      <c r="F2261" s="70" t="s">
        <v>3344</v>
      </c>
      <c r="G2261" s="70" t="s">
        <v>3345</v>
      </c>
      <c r="H2261" s="70" t="s">
        <v>1704</v>
      </c>
    </row>
    <row r="2262" spans="1:8" ht="18" customHeight="1">
      <c r="B2262" s="1067" t="s">
        <v>1705</v>
      </c>
      <c r="C2262" s="60" t="s">
        <v>610</v>
      </c>
      <c r="D2262" s="43">
        <v>2.25</v>
      </c>
      <c r="E2262" s="11" t="s">
        <v>1707</v>
      </c>
      <c r="F2262" s="111">
        <f>'update Rate'!F5</f>
        <v>525</v>
      </c>
      <c r="G2262" s="111">
        <f>FLOOR(D2262*F2262,0.01)</f>
        <v>1181.25</v>
      </c>
      <c r="H2262" s="112"/>
    </row>
    <row r="2263" spans="1:8" ht="18" customHeight="1">
      <c r="B2263" s="1070"/>
      <c r="C2263" s="58" t="s">
        <v>1647</v>
      </c>
      <c r="D2263" s="45">
        <v>3.25</v>
      </c>
      <c r="E2263" s="58" t="s">
        <v>1707</v>
      </c>
      <c r="F2263" s="65">
        <f>'update Rate'!F4</f>
        <v>375</v>
      </c>
      <c r="G2263" s="65">
        <f>FLOOR(D2263*F2263,0.01)</f>
        <v>1218.75</v>
      </c>
      <c r="H2263" s="125">
        <f>SUM(G2262+G2263)</f>
        <v>2400</v>
      </c>
    </row>
    <row r="2264" spans="1:8" ht="17.25">
      <c r="B2264" s="1069" t="s">
        <v>2330</v>
      </c>
      <c r="C2264" s="57" t="s">
        <v>2998</v>
      </c>
      <c r="D2264" s="43">
        <v>430</v>
      </c>
      <c r="E2264" s="57" t="s">
        <v>803</v>
      </c>
      <c r="F2264" s="114">
        <f>'update Rate'!F10</f>
        <v>7.5</v>
      </c>
      <c r="G2264" s="113">
        <f>FLOOR(D2264*F2264,0.01)</f>
        <v>3225</v>
      </c>
      <c r="H2264" s="86"/>
    </row>
    <row r="2265" spans="1:8" ht="18" customHeight="1">
      <c r="B2265" s="1095"/>
      <c r="C2265" s="55" t="s">
        <v>1650</v>
      </c>
      <c r="D2265" s="54">
        <v>7.8E-2</v>
      </c>
      <c r="E2265" s="55" t="s">
        <v>804</v>
      </c>
      <c r="F2265" s="113">
        <f>'update Rate'!F15</f>
        <v>14200</v>
      </c>
      <c r="G2265" s="113">
        <f>FLOOR(D2265*F2265,0.01)</f>
        <v>1107.6000000000001</v>
      </c>
      <c r="H2265" s="88"/>
    </row>
    <row r="2266" spans="1:8" ht="18" customHeight="1">
      <c r="B2266" s="1070"/>
      <c r="C2266" s="58" t="s">
        <v>801</v>
      </c>
      <c r="D2266" s="51">
        <v>0.22900000000000001</v>
      </c>
      <c r="E2266" s="58" t="s">
        <v>2530</v>
      </c>
      <c r="F2266" s="65">
        <f>'update Rate'!F8</f>
        <v>1659.57</v>
      </c>
      <c r="G2266" s="65">
        <f>FLOOR(D2266*F2266,0.01)</f>
        <v>380.04</v>
      </c>
      <c r="H2266" s="127">
        <f>SUM(G2264:G2266)</f>
        <v>4712.6400000000003</v>
      </c>
    </row>
    <row r="2267" spans="1:8" ht="15.75">
      <c r="F2267" s="42" t="s">
        <v>1708</v>
      </c>
      <c r="G2267" s="42"/>
      <c r="H2267" s="65">
        <f>SUM(H2263:H2266)</f>
        <v>7112.64</v>
      </c>
    </row>
    <row r="2268" spans="1:8" ht="18" customHeight="1">
      <c r="B2268" s="1" t="s">
        <v>1710</v>
      </c>
      <c r="F2268" s="42" t="s">
        <v>1689</v>
      </c>
      <c r="G2268" s="42"/>
      <c r="H2268" s="103">
        <f>FLOOR(H2267*0.15,0.01)</f>
        <v>1066.8900000000001</v>
      </c>
    </row>
    <row r="2269" spans="1:8" ht="18" customHeight="1">
      <c r="A2269"/>
      <c r="B2269" s="147">
        <f>+H2269</f>
        <v>8179.5300000000007</v>
      </c>
      <c r="C2269" s="28" t="s">
        <v>3384</v>
      </c>
      <c r="D2269" s="103">
        <f>INT(B2269/B2270*100)/100</f>
        <v>817.95</v>
      </c>
      <c r="E2269" s="1" t="s">
        <v>3385</v>
      </c>
      <c r="F2269" s="42" t="s">
        <v>1711</v>
      </c>
      <c r="G2269" s="42"/>
      <c r="H2269" s="103">
        <f>SUM(H2267:H2268)</f>
        <v>8179.5300000000007</v>
      </c>
    </row>
    <row r="2270" spans="1:8" ht="18" customHeight="1">
      <c r="B2270" s="121">
        <v>10</v>
      </c>
      <c r="H2270" s="91"/>
    </row>
    <row r="2271" spans="1:8">
      <c r="B2271" s="1" t="s">
        <v>2999</v>
      </c>
    </row>
    <row r="2274" spans="1:8" ht="19.5">
      <c r="A2274" s="32"/>
      <c r="B2274" s="1077" t="s">
        <v>3001</v>
      </c>
      <c r="C2274" s="1077"/>
      <c r="D2274" s="1077"/>
      <c r="E2274" s="1077"/>
      <c r="F2274" s="1077"/>
      <c r="G2274" s="1077"/>
      <c r="H2274" s="1077"/>
    </row>
    <row r="2275" spans="1:8" ht="18" customHeight="1">
      <c r="A2275" s="282">
        <f>+A2259+1</f>
        <v>132</v>
      </c>
      <c r="B2275" s="1076" t="s">
        <v>2997</v>
      </c>
      <c r="C2275" s="1077"/>
      <c r="D2275" s="1077"/>
      <c r="E2275" s="1077"/>
      <c r="F2275" s="1077"/>
      <c r="G2275" s="1077"/>
      <c r="H2275" s="1077"/>
    </row>
    <row r="2276" spans="1:8" ht="18" customHeight="1">
      <c r="A2276" s="15" t="s">
        <v>3000</v>
      </c>
      <c r="B2276" s="1074" t="s">
        <v>1594</v>
      </c>
      <c r="C2276" s="1075"/>
      <c r="D2276" s="1075"/>
      <c r="E2276" s="1075"/>
      <c r="F2276" s="1075"/>
      <c r="G2276" s="1075"/>
      <c r="H2276" s="1075"/>
    </row>
    <row r="2277" spans="1:8" ht="31.5">
      <c r="A2277" s="869" t="s">
        <v>4093</v>
      </c>
      <c r="B2277" s="70" t="s">
        <v>3340</v>
      </c>
      <c r="C2277" s="70" t="s">
        <v>3341</v>
      </c>
      <c r="D2277" s="70" t="s">
        <v>3342</v>
      </c>
      <c r="E2277" s="70" t="s">
        <v>3343</v>
      </c>
      <c r="F2277" s="70" t="s">
        <v>3344</v>
      </c>
      <c r="G2277" s="70" t="s">
        <v>3345</v>
      </c>
      <c r="H2277" s="70" t="s">
        <v>1704</v>
      </c>
    </row>
    <row r="2278" spans="1:8" ht="17.25">
      <c r="B2278" s="1067" t="s">
        <v>1705</v>
      </c>
      <c r="C2278" s="60" t="s">
        <v>610</v>
      </c>
      <c r="D2278" s="43">
        <v>1.1000000000000001</v>
      </c>
      <c r="E2278" s="57" t="s">
        <v>1707</v>
      </c>
      <c r="F2278" s="111">
        <f>'update Rate'!F5</f>
        <v>525</v>
      </c>
      <c r="G2278" s="111">
        <f>FLOOR(D2278*F2278,0.01)</f>
        <v>577.5</v>
      </c>
      <c r="H2278" s="112"/>
    </row>
    <row r="2279" spans="1:8" ht="18" customHeight="1">
      <c r="B2279" s="1070"/>
      <c r="C2279" s="58" t="s">
        <v>1647</v>
      </c>
      <c r="D2279" s="45">
        <v>1.8</v>
      </c>
      <c r="E2279" s="58" t="s">
        <v>1707</v>
      </c>
      <c r="F2279" s="65">
        <f>'update Rate'!F4</f>
        <v>375</v>
      </c>
      <c r="G2279" s="65">
        <f>FLOOR(D2279*F2279,0.01)</f>
        <v>675</v>
      </c>
      <c r="H2279" s="125">
        <f>SUM(G2278+G2279)</f>
        <v>1252.5</v>
      </c>
    </row>
    <row r="2280" spans="1:8" ht="18" customHeight="1">
      <c r="B2280" s="1069" t="s">
        <v>2330</v>
      </c>
      <c r="C2280" s="57" t="s">
        <v>2998</v>
      </c>
      <c r="D2280" s="43">
        <v>750</v>
      </c>
      <c r="E2280" s="57" t="s">
        <v>803</v>
      </c>
      <c r="F2280" s="114">
        <f>'update Rate'!F10</f>
        <v>7.5</v>
      </c>
      <c r="G2280" s="114">
        <f>FLOOR(D2280*F2280,0.01)</f>
        <v>5625</v>
      </c>
      <c r="H2280" s="86"/>
    </row>
    <row r="2281" spans="1:8" ht="18" customHeight="1">
      <c r="B2281" s="1095"/>
      <c r="C2281" s="55" t="s">
        <v>1650</v>
      </c>
      <c r="D2281" s="54">
        <v>0.121</v>
      </c>
      <c r="E2281" s="55" t="s">
        <v>804</v>
      </c>
      <c r="F2281" s="113">
        <f>'update Rate'!F15</f>
        <v>14200</v>
      </c>
      <c r="G2281" s="113">
        <f>FLOOR(D2281*F2281,0.01)</f>
        <v>1718.2</v>
      </c>
      <c r="H2281" s="88"/>
    </row>
    <row r="2282" spans="1:8" ht="17.25">
      <c r="B2282" s="1070"/>
      <c r="C2282" s="58" t="s">
        <v>801</v>
      </c>
      <c r="D2282" s="51">
        <v>0.43099999999999999</v>
      </c>
      <c r="E2282" s="58" t="s">
        <v>2530</v>
      </c>
      <c r="F2282" s="65">
        <f>'update Rate'!F8</f>
        <v>1659.57</v>
      </c>
      <c r="G2282" s="65">
        <f>FLOOR(D2282*F2282,0.01)</f>
        <v>715.27</v>
      </c>
      <c r="H2282" s="143">
        <f>SUM(G2280:G2282)</f>
        <v>8058.4699999999993</v>
      </c>
    </row>
    <row r="2283" spans="1:8" ht="18" customHeight="1">
      <c r="F2283" s="42" t="s">
        <v>1708</v>
      </c>
      <c r="G2283" s="42"/>
      <c r="H2283" s="144">
        <f>SUM(H2278:H2282)</f>
        <v>9310.9699999999993</v>
      </c>
    </row>
    <row r="2284" spans="1:8" ht="18" customHeight="1">
      <c r="B2284" s="1" t="s">
        <v>1710</v>
      </c>
      <c r="F2284" s="42" t="s">
        <v>1689</v>
      </c>
      <c r="G2284" s="42"/>
      <c r="H2284" s="103">
        <f>FLOOR(H2283*0.15,0.01)</f>
        <v>1396.64</v>
      </c>
    </row>
    <row r="2285" spans="1:8" ht="15.75">
      <c r="A2285"/>
      <c r="B2285" s="147">
        <f>+H2285</f>
        <v>10707.609999999999</v>
      </c>
      <c r="C2285" s="28" t="s">
        <v>3384</v>
      </c>
      <c r="D2285" s="103">
        <f>INT(B2285/B2286*100)/100</f>
        <v>1070.76</v>
      </c>
      <c r="E2285" s="1" t="s">
        <v>3385</v>
      </c>
      <c r="F2285" s="42" t="s">
        <v>1711</v>
      </c>
      <c r="G2285" s="42"/>
      <c r="H2285" s="65">
        <f>SUM(H2283:H2284)</f>
        <v>10707.609999999999</v>
      </c>
    </row>
    <row r="2286" spans="1:8">
      <c r="B2286" s="121">
        <v>10</v>
      </c>
    </row>
    <row r="2287" spans="1:8">
      <c r="B2287" s="121"/>
    </row>
    <row r="2288" spans="1:8">
      <c r="B2288" s="121"/>
    </row>
    <row r="2289" spans="1:8">
      <c r="B2289" s="121"/>
    </row>
    <row r="2290" spans="1:8" ht="18" customHeight="1">
      <c r="A2290" s="32"/>
    </row>
    <row r="2291" spans="1:8" ht="18" customHeight="1">
      <c r="A2291" s="282">
        <f>A2275+1</f>
        <v>133</v>
      </c>
      <c r="B2291" s="1077" t="s">
        <v>3860</v>
      </c>
      <c r="C2291" s="1077"/>
      <c r="D2291" s="1077"/>
      <c r="E2291" s="1077"/>
      <c r="F2291" s="1077"/>
      <c r="G2291" s="1077"/>
      <c r="H2291" s="1077"/>
    </row>
    <row r="2292" spans="1:8" ht="18" customHeight="1">
      <c r="A2292" s="869" t="s">
        <v>4406</v>
      </c>
      <c r="B2292" s="1074" t="s">
        <v>1594</v>
      </c>
      <c r="C2292" s="1075"/>
      <c r="D2292" s="1075"/>
      <c r="E2292" s="1075"/>
      <c r="F2292" s="1075"/>
      <c r="G2292" s="1075"/>
      <c r="H2292" s="1075"/>
    </row>
    <row r="2293" spans="1:8" ht="31.5">
      <c r="B2293" s="70" t="s">
        <v>3340</v>
      </c>
      <c r="C2293" s="70" t="s">
        <v>3341</v>
      </c>
      <c r="D2293" s="70" t="s">
        <v>3342</v>
      </c>
      <c r="E2293" s="70" t="s">
        <v>3343</v>
      </c>
      <c r="F2293" s="70" t="s">
        <v>3344</v>
      </c>
      <c r="G2293" s="70" t="s">
        <v>3345</v>
      </c>
      <c r="H2293" s="70" t="s">
        <v>1704</v>
      </c>
    </row>
    <row r="2294" spans="1:8" ht="18" customHeight="1">
      <c r="B2294" s="1067" t="s">
        <v>1705</v>
      </c>
      <c r="C2294" s="765" t="s">
        <v>610</v>
      </c>
      <c r="D2294" s="43">
        <v>1.75</v>
      </c>
      <c r="E2294" s="57" t="s">
        <v>1707</v>
      </c>
      <c r="F2294" s="111">
        <f>'update Rate'!F5</f>
        <v>525</v>
      </c>
      <c r="G2294" s="111">
        <f>FLOOR(D2294*F2294,0.01)</f>
        <v>918.75</v>
      </c>
      <c r="H2294" s="771"/>
    </row>
    <row r="2295" spans="1:8" ht="17.25">
      <c r="B2295" s="1070"/>
      <c r="C2295" s="58" t="s">
        <v>1647</v>
      </c>
      <c r="D2295" s="45">
        <v>0.75</v>
      </c>
      <c r="E2295" s="58" t="s">
        <v>1707</v>
      </c>
      <c r="F2295" s="65">
        <f>'update Rate'!F4</f>
        <v>375</v>
      </c>
      <c r="G2295" s="65">
        <f>FLOOR(D2295*F2295,0.01)</f>
        <v>281.25</v>
      </c>
      <c r="H2295" s="773">
        <f>SUM(G2294+G2295)</f>
        <v>1200</v>
      </c>
    </row>
    <row r="2296" spans="1:8" ht="18" customHeight="1">
      <c r="B2296" s="1069" t="s">
        <v>2330</v>
      </c>
      <c r="C2296" s="57" t="s">
        <v>3861</v>
      </c>
      <c r="D2296" s="43">
        <v>10.5</v>
      </c>
      <c r="E2296" s="57" t="s">
        <v>3170</v>
      </c>
      <c r="F2296" s="854">
        <f>'update Rate'!F231</f>
        <v>1379.97</v>
      </c>
      <c r="G2296" s="114">
        <f>FLOOR(D2296*F2296,0.01)</f>
        <v>14489.68</v>
      </c>
      <c r="H2296" s="770"/>
    </row>
    <row r="2297" spans="1:8" ht="18" customHeight="1">
      <c r="B2297" s="1095"/>
      <c r="C2297" s="55" t="s">
        <v>3002</v>
      </c>
      <c r="D2297" s="54"/>
      <c r="E2297" s="55" t="s">
        <v>3171</v>
      </c>
      <c r="F2297" s="113">
        <v>50</v>
      </c>
      <c r="G2297" s="113">
        <v>50</v>
      </c>
      <c r="H2297" s="88"/>
    </row>
    <row r="2298" spans="1:8" ht="17.25">
      <c r="B2298" s="1070"/>
      <c r="C2298" s="58" t="s">
        <v>2325</v>
      </c>
      <c r="D2298" s="51"/>
      <c r="E2298" s="58" t="s">
        <v>3171</v>
      </c>
      <c r="F2298" s="65">
        <v>300</v>
      </c>
      <c r="G2298" s="65">
        <v>300</v>
      </c>
      <c r="H2298" s="143">
        <f>SUM(G2296:G2298)</f>
        <v>14839.68</v>
      </c>
    </row>
    <row r="2299" spans="1:8" ht="18" customHeight="1">
      <c r="F2299" s="42" t="s">
        <v>1708</v>
      </c>
      <c r="G2299" s="42"/>
      <c r="H2299" s="144">
        <f>SUM(H2294:H2298)</f>
        <v>16039.68</v>
      </c>
    </row>
    <row r="2300" spans="1:8" ht="18" customHeight="1">
      <c r="B2300" s="1" t="s">
        <v>1710</v>
      </c>
      <c r="F2300" s="42" t="s">
        <v>1689</v>
      </c>
      <c r="G2300" s="42"/>
      <c r="H2300" s="103">
        <f>FLOOR(H2299*0.15,0.01)</f>
        <v>2405.9500000000003</v>
      </c>
    </row>
    <row r="2301" spans="1:8" ht="18" customHeight="1">
      <c r="A2301"/>
      <c r="B2301" s="147">
        <f>+H2301</f>
        <v>18445.63</v>
      </c>
      <c r="C2301" s="28" t="s">
        <v>3384</v>
      </c>
      <c r="D2301" s="103">
        <f>INT(B2301/B2302*100)/100</f>
        <v>1844.56</v>
      </c>
      <c r="E2301" s="1" t="s">
        <v>3385</v>
      </c>
      <c r="F2301" s="42" t="s">
        <v>1711</v>
      </c>
      <c r="G2301" s="42"/>
      <c r="H2301" s="65">
        <f>SUM(H2299:H2300)</f>
        <v>18445.63</v>
      </c>
    </row>
    <row r="2302" spans="1:8" ht="18" customHeight="1">
      <c r="B2302" s="121">
        <v>10</v>
      </c>
    </row>
    <row r="2303" spans="1:8">
      <c r="B2303" s="121"/>
    </row>
    <row r="2304" spans="1:8" ht="19.5">
      <c r="A2304" s="282">
        <f>A2291+1</f>
        <v>134</v>
      </c>
      <c r="B2304" s="1076" t="s">
        <v>2622</v>
      </c>
      <c r="C2304" s="1077"/>
      <c r="D2304" s="1077"/>
      <c r="E2304" s="1077"/>
      <c r="F2304" s="1077"/>
      <c r="G2304" s="1077"/>
      <c r="H2304" s="1077"/>
    </row>
    <row r="2305" spans="1:8" ht="18" customHeight="1">
      <c r="A2305" s="869" t="s">
        <v>4407</v>
      </c>
      <c r="B2305" s="1074" t="s">
        <v>1594</v>
      </c>
      <c r="C2305" s="1075"/>
      <c r="D2305" s="1075"/>
      <c r="E2305" s="1075"/>
      <c r="F2305" s="1075"/>
      <c r="G2305" s="1075"/>
      <c r="H2305" s="1075"/>
    </row>
    <row r="2306" spans="1:8" ht="31.5">
      <c r="B2306" s="70" t="s">
        <v>3340</v>
      </c>
      <c r="C2306" s="70" t="s">
        <v>3341</v>
      </c>
      <c r="D2306" s="70" t="s">
        <v>3342</v>
      </c>
      <c r="E2306" s="70" t="s">
        <v>3343</v>
      </c>
      <c r="F2306" s="70" t="s">
        <v>3344</v>
      </c>
      <c r="G2306" s="70" t="s">
        <v>3345</v>
      </c>
      <c r="H2306" s="70" t="s">
        <v>1704</v>
      </c>
    </row>
    <row r="2307" spans="1:8" ht="18" customHeight="1">
      <c r="B2307" s="1067" t="s">
        <v>1705</v>
      </c>
      <c r="C2307" s="60" t="s">
        <v>610</v>
      </c>
      <c r="D2307" s="43">
        <v>0.5</v>
      </c>
      <c r="E2307" s="57" t="s">
        <v>1707</v>
      </c>
      <c r="F2307" s="111">
        <f>'update Rate'!F5</f>
        <v>525</v>
      </c>
      <c r="G2307" s="111">
        <f>FLOOR(D2307*F2307,0.01)</f>
        <v>262.5</v>
      </c>
      <c r="H2307" s="112"/>
    </row>
    <row r="2308" spans="1:8" ht="17.25">
      <c r="B2308" s="1070"/>
      <c r="C2308" s="58" t="s">
        <v>1647</v>
      </c>
      <c r="D2308" s="45">
        <v>1</v>
      </c>
      <c r="E2308" s="58" t="s">
        <v>1707</v>
      </c>
      <c r="F2308" s="65">
        <f>'update Rate'!F4</f>
        <v>375</v>
      </c>
      <c r="G2308" s="65">
        <f>FLOOR(D2308*F2308,0.01)</f>
        <v>375</v>
      </c>
      <c r="H2308" s="125">
        <f>SUM(G2307+G2308)</f>
        <v>637.5</v>
      </c>
    </row>
    <row r="2309" spans="1:8" ht="18" customHeight="1">
      <c r="B2309" s="1069" t="s">
        <v>2330</v>
      </c>
      <c r="C2309" s="57" t="s">
        <v>2623</v>
      </c>
      <c r="D2309" s="43">
        <v>420</v>
      </c>
      <c r="E2309" s="57" t="s">
        <v>803</v>
      </c>
      <c r="F2309" s="114">
        <f>'update Rate'!F10</f>
        <v>7.5</v>
      </c>
      <c r="G2309" s="113">
        <f>FLOOR(D2309*F2309,0.01)</f>
        <v>3150</v>
      </c>
      <c r="H2309" s="112"/>
    </row>
    <row r="2310" spans="1:8" ht="18" customHeight="1">
      <c r="B2310" s="1070"/>
      <c r="C2310" s="58" t="s">
        <v>2624</v>
      </c>
      <c r="D2310" s="45">
        <v>0.71</v>
      </c>
      <c r="E2310" s="58" t="s">
        <v>2530</v>
      </c>
      <c r="F2310" s="65">
        <f>'update Rate'!F8</f>
        <v>1659.57</v>
      </c>
      <c r="G2310" s="65">
        <f>FLOOR(D2310*F2310,0.01)</f>
        <v>1178.29</v>
      </c>
      <c r="H2310" s="127">
        <f>SUM(G2309:G2310)</f>
        <v>4328.29</v>
      </c>
    </row>
    <row r="2311" spans="1:8" ht="16.5">
      <c r="F2311" s="42" t="s">
        <v>1708</v>
      </c>
      <c r="G2311" s="106"/>
      <c r="H2311" s="65">
        <f>SUM(H2310,H2308)</f>
        <v>4965.79</v>
      </c>
    </row>
    <row r="2312" spans="1:8" ht="18" customHeight="1">
      <c r="B2312" s="1" t="s">
        <v>1710</v>
      </c>
      <c r="F2312" s="42" t="s">
        <v>1689</v>
      </c>
      <c r="G2312" s="106"/>
      <c r="H2312" s="103">
        <f>FLOOR(H2311*0.15,0.01)</f>
        <v>744.86</v>
      </c>
    </row>
    <row r="2313" spans="1:8" ht="18" customHeight="1">
      <c r="A2313"/>
      <c r="B2313" s="147">
        <f>+H2313</f>
        <v>5710.65</v>
      </c>
      <c r="C2313" s="28" t="s">
        <v>3384</v>
      </c>
      <c r="D2313" s="103">
        <f>INT(B2313/B2314*100)/100</f>
        <v>571.05999999999995</v>
      </c>
      <c r="E2313" s="1" t="s">
        <v>3385</v>
      </c>
      <c r="F2313" s="42" t="s">
        <v>1711</v>
      </c>
      <c r="G2313" s="106"/>
      <c r="H2313" s="103">
        <f>SUM(H2311:H2312)</f>
        <v>5710.65</v>
      </c>
    </row>
    <row r="2314" spans="1:8" ht="18" customHeight="1">
      <c r="B2314" s="121">
        <v>10</v>
      </c>
    </row>
    <row r="2315" spans="1:8" ht="18" customHeight="1">
      <c r="B2315" s="121"/>
    </row>
    <row r="2316" spans="1:8" ht="18" customHeight="1">
      <c r="B2316" s="121"/>
    </row>
    <row r="2317" spans="1:8" ht="18" customHeight="1">
      <c r="B2317" s="121"/>
    </row>
    <row r="2318" spans="1:8">
      <c r="B2318" s="121"/>
    </row>
    <row r="2319" spans="1:8" ht="19.5">
      <c r="A2319" s="282">
        <f>+A2304+1</f>
        <v>135</v>
      </c>
      <c r="B2319" s="1076" t="s">
        <v>2625</v>
      </c>
      <c r="C2319" s="1077"/>
      <c r="D2319" s="1077"/>
      <c r="E2319" s="1077"/>
      <c r="F2319" s="1077"/>
      <c r="G2319" s="1077"/>
      <c r="H2319" s="1077"/>
    </row>
    <row r="2320" spans="1:8" ht="18" customHeight="1">
      <c r="A2320" s="869" t="s">
        <v>4408</v>
      </c>
      <c r="B2320" s="1074" t="s">
        <v>1594</v>
      </c>
      <c r="C2320" s="1075"/>
      <c r="D2320" s="1075"/>
      <c r="E2320" s="1075"/>
      <c r="F2320" s="1075"/>
      <c r="G2320" s="1075"/>
      <c r="H2320" s="1075"/>
    </row>
    <row r="2321" spans="1:8" ht="31.5">
      <c r="B2321" s="70" t="s">
        <v>3340</v>
      </c>
      <c r="C2321" s="70" t="s">
        <v>3341</v>
      </c>
      <c r="D2321" s="70" t="s">
        <v>3342</v>
      </c>
      <c r="E2321" s="70" t="s">
        <v>3343</v>
      </c>
      <c r="F2321" s="70" t="s">
        <v>3344</v>
      </c>
      <c r="G2321" s="70" t="s">
        <v>3345</v>
      </c>
      <c r="H2321" s="70" t="s">
        <v>1704</v>
      </c>
    </row>
    <row r="2322" spans="1:8" ht="18" customHeight="1">
      <c r="B2322" s="1067" t="s">
        <v>1705</v>
      </c>
      <c r="C2322" s="60" t="s">
        <v>610</v>
      </c>
      <c r="D2322" s="43">
        <v>1</v>
      </c>
      <c r="E2322" s="57" t="s">
        <v>1707</v>
      </c>
      <c r="F2322" s="111">
        <f>'update Rate'!F5</f>
        <v>525</v>
      </c>
      <c r="G2322" s="111">
        <f>FLOOR(D2322*F2322,0.01)</f>
        <v>525</v>
      </c>
      <c r="H2322" s="112"/>
    </row>
    <row r="2323" spans="1:8" ht="18" customHeight="1">
      <c r="B2323" s="1070"/>
      <c r="C2323" s="58" t="s">
        <v>1647</v>
      </c>
      <c r="D2323" s="45">
        <v>3.25</v>
      </c>
      <c r="E2323" s="58" t="s">
        <v>1707</v>
      </c>
      <c r="F2323" s="65">
        <f>'update Rate'!F4</f>
        <v>375</v>
      </c>
      <c r="G2323" s="65">
        <f>FLOOR(D2323*F2323,0.01)</f>
        <v>1218.75</v>
      </c>
      <c r="H2323" s="125">
        <f>SUM(G2322+G2323)</f>
        <v>1743.75</v>
      </c>
    </row>
    <row r="2324" spans="1:8" ht="17.25">
      <c r="B2324" s="1069" t="s">
        <v>2330</v>
      </c>
      <c r="C2324" s="57" t="s">
        <v>2623</v>
      </c>
      <c r="D2324" s="47">
        <v>750</v>
      </c>
      <c r="E2324" s="57" t="s">
        <v>803</v>
      </c>
      <c r="F2324" s="114">
        <f>'update Rate'!F10</f>
        <v>7.5</v>
      </c>
      <c r="G2324" s="113">
        <f>FLOOR(D2324*F2324,0.01)</f>
        <v>5625</v>
      </c>
      <c r="H2324" s="112"/>
    </row>
    <row r="2325" spans="1:8" ht="18" customHeight="1">
      <c r="B2325" s="1070"/>
      <c r="C2325" s="58" t="s">
        <v>2624</v>
      </c>
      <c r="D2325" s="45">
        <v>0.71</v>
      </c>
      <c r="E2325" s="58" t="s">
        <v>2530</v>
      </c>
      <c r="F2325" s="65">
        <f>'update Rate'!F8</f>
        <v>1659.57</v>
      </c>
      <c r="G2325" s="65">
        <f>FLOOR(D2325*F2325,0.01)</f>
        <v>1178.29</v>
      </c>
      <c r="H2325" s="127">
        <f>SUM(G2324:G2325)</f>
        <v>6803.29</v>
      </c>
    </row>
    <row r="2326" spans="1:8" ht="18" customHeight="1">
      <c r="F2326" s="42" t="s">
        <v>1708</v>
      </c>
      <c r="G2326" s="106"/>
      <c r="H2326" s="65">
        <f>SUM(H2325,H2323)</f>
        <v>8547.0400000000009</v>
      </c>
    </row>
    <row r="2327" spans="1:8" ht="18" customHeight="1">
      <c r="B2327" s="1" t="s">
        <v>1710</v>
      </c>
      <c r="F2327" s="42" t="s">
        <v>1689</v>
      </c>
      <c r="G2327" s="106"/>
      <c r="H2327" s="103">
        <f>FLOOR(H2326*0.15,0.01)</f>
        <v>1282.05</v>
      </c>
    </row>
    <row r="2328" spans="1:8" ht="16.5">
      <c r="A2328"/>
      <c r="B2328" s="147">
        <f>+H2328</f>
        <v>9829.09</v>
      </c>
      <c r="C2328" s="28" t="s">
        <v>3384</v>
      </c>
      <c r="D2328" s="103">
        <f>INT(B2328/B2329*100)/100</f>
        <v>982.9</v>
      </c>
      <c r="E2328" s="1" t="s">
        <v>3385</v>
      </c>
      <c r="F2328" s="42" t="s">
        <v>1711</v>
      </c>
      <c r="G2328" s="106"/>
      <c r="H2328" s="103">
        <f>SUM(H2326:H2327)</f>
        <v>9829.09</v>
      </c>
    </row>
    <row r="2329" spans="1:8" ht="18" customHeight="1">
      <c r="B2329" s="121">
        <v>10</v>
      </c>
    </row>
    <row r="2330" spans="1:8" ht="18" customHeight="1">
      <c r="B2330" s="121"/>
    </row>
    <row r="2331" spans="1:8" ht="18" customHeight="1">
      <c r="B2331" s="121"/>
    </row>
    <row r="2332" spans="1:8" ht="18" customHeight="1">
      <c r="B2332" s="121"/>
    </row>
    <row r="2333" spans="1:8">
      <c r="B2333" s="121"/>
    </row>
    <row r="2334" spans="1:8" ht="19.5">
      <c r="A2334" s="282">
        <f>+A2319+1</f>
        <v>136</v>
      </c>
      <c r="B2334" s="1076" t="s">
        <v>1075</v>
      </c>
      <c r="C2334" s="1077"/>
      <c r="D2334" s="1077"/>
      <c r="E2334" s="1077"/>
      <c r="F2334" s="1077"/>
      <c r="G2334" s="1077"/>
      <c r="H2334" s="1077"/>
    </row>
    <row r="2335" spans="1:8" ht="18" customHeight="1">
      <c r="A2335" s="869" t="s">
        <v>4408</v>
      </c>
      <c r="B2335" s="1074" t="s">
        <v>1683</v>
      </c>
      <c r="C2335" s="1075"/>
      <c r="D2335" s="1075"/>
      <c r="E2335" s="1075"/>
      <c r="F2335" s="1075"/>
      <c r="G2335" s="1075"/>
      <c r="H2335" s="1075"/>
    </row>
    <row r="2336" spans="1:8" ht="31.5">
      <c r="B2336" s="70" t="s">
        <v>3340</v>
      </c>
      <c r="C2336" s="70" t="s">
        <v>3341</v>
      </c>
      <c r="D2336" s="70" t="s">
        <v>3342</v>
      </c>
      <c r="E2336" s="70" t="s">
        <v>3343</v>
      </c>
      <c r="F2336" s="70" t="s">
        <v>3344</v>
      </c>
      <c r="G2336" s="70" t="s">
        <v>3345</v>
      </c>
      <c r="H2336" s="70" t="s">
        <v>1704</v>
      </c>
    </row>
    <row r="2337" spans="1:8" ht="18" customHeight="1">
      <c r="B2337" s="1067" t="s">
        <v>1705</v>
      </c>
      <c r="C2337" s="60" t="s">
        <v>610</v>
      </c>
      <c r="D2337" s="43">
        <v>1</v>
      </c>
      <c r="E2337" s="57" t="s">
        <v>1707</v>
      </c>
      <c r="F2337" s="111">
        <f>'update Rate'!F5</f>
        <v>525</v>
      </c>
      <c r="G2337" s="111">
        <f>FLOOR(D2337*F2337,0.01)</f>
        <v>525</v>
      </c>
      <c r="H2337" s="112"/>
    </row>
    <row r="2338" spans="1:8" ht="18" customHeight="1">
      <c r="B2338" s="1070"/>
      <c r="C2338" s="58" t="s">
        <v>1647</v>
      </c>
      <c r="D2338" s="45">
        <v>3.5</v>
      </c>
      <c r="E2338" s="58" t="s">
        <v>1707</v>
      </c>
      <c r="F2338" s="65">
        <f>'update Rate'!F4</f>
        <v>375</v>
      </c>
      <c r="G2338" s="65">
        <f>FLOOR(D2338*F2338,0.01)</f>
        <v>1312.5</v>
      </c>
      <c r="H2338" s="125">
        <f>SUM(G2337+G2338)</f>
        <v>1837.5</v>
      </c>
    </row>
    <row r="2339" spans="1:8" ht="17.25">
      <c r="B2339" s="1069" t="s">
        <v>2330</v>
      </c>
      <c r="C2339" s="57" t="s">
        <v>1076</v>
      </c>
      <c r="D2339" s="43">
        <v>1.1000000000000001</v>
      </c>
      <c r="E2339" s="57" t="s">
        <v>2530</v>
      </c>
      <c r="F2339" s="114">
        <f>'update Rate'!F32</f>
        <v>1412.4</v>
      </c>
      <c r="G2339" s="114">
        <f>FLOOR(D2339*F2339,0.01)</f>
        <v>1553.64</v>
      </c>
      <c r="H2339" s="112"/>
    </row>
    <row r="2340" spans="1:8" ht="18" customHeight="1">
      <c r="B2340" s="1070"/>
      <c r="C2340" s="58" t="s">
        <v>2624</v>
      </c>
      <c r="D2340" s="45">
        <v>0.71</v>
      </c>
      <c r="E2340" s="58" t="s">
        <v>2530</v>
      </c>
      <c r="F2340" s="65">
        <f>'update Rate'!F8</f>
        <v>1659.57</v>
      </c>
      <c r="G2340" s="65">
        <f>FLOOR(D2340*F2340,0.01)</f>
        <v>1178.29</v>
      </c>
      <c r="H2340" s="127">
        <f>SUM(G2339:G2340)</f>
        <v>2731.9300000000003</v>
      </c>
    </row>
    <row r="2341" spans="1:8" ht="18" customHeight="1">
      <c r="F2341" s="42" t="s">
        <v>1708</v>
      </c>
      <c r="G2341" s="106"/>
      <c r="H2341" s="65">
        <f>SUM(H2340,H2338)</f>
        <v>4569.43</v>
      </c>
    </row>
    <row r="2342" spans="1:8" ht="18" customHeight="1">
      <c r="B2342" s="1" t="s">
        <v>3658</v>
      </c>
      <c r="F2342" s="42" t="s">
        <v>1689</v>
      </c>
      <c r="G2342" s="106"/>
      <c r="H2342" s="103">
        <f>FLOOR(H2341*0.15,0.01)</f>
        <v>685.41</v>
      </c>
    </row>
    <row r="2343" spans="1:8" ht="18" customHeight="1">
      <c r="A2343"/>
      <c r="B2343" s="147">
        <f>+H2343</f>
        <v>5254.84</v>
      </c>
      <c r="C2343" s="28" t="s">
        <v>3384</v>
      </c>
      <c r="D2343" s="103">
        <f>INT(B2343/B2344*100)/100</f>
        <v>5254.84</v>
      </c>
      <c r="E2343" s="1" t="s">
        <v>3385</v>
      </c>
      <c r="F2343" s="42" t="s">
        <v>1711</v>
      </c>
      <c r="G2343" s="106"/>
      <c r="H2343" s="103">
        <f>SUM(H2341:H2342)</f>
        <v>5254.84</v>
      </c>
    </row>
    <row r="2344" spans="1:8">
      <c r="B2344" s="121">
        <v>1</v>
      </c>
    </row>
    <row r="2345" spans="1:8" ht="18" customHeight="1">
      <c r="B2345" s="121"/>
    </row>
    <row r="2346" spans="1:8" ht="29.25" customHeight="1">
      <c r="A2346" s="32"/>
      <c r="B2346" s="1077" t="s">
        <v>1106</v>
      </c>
      <c r="C2346" s="1077"/>
      <c r="D2346" s="1077"/>
      <c r="E2346" s="1077"/>
      <c r="F2346" s="1077"/>
      <c r="G2346" s="1077"/>
      <c r="H2346" s="1077"/>
    </row>
    <row r="2347" spans="1:8" ht="19.5">
      <c r="A2347" s="282">
        <f>+A2334+1</f>
        <v>137</v>
      </c>
      <c r="B2347" s="1076" t="s">
        <v>2626</v>
      </c>
      <c r="C2347" s="1077"/>
      <c r="D2347" s="1077"/>
      <c r="E2347" s="1077"/>
      <c r="F2347" s="1077"/>
      <c r="G2347" s="1077"/>
      <c r="H2347" s="1077"/>
    </row>
    <row r="2348" spans="1:8">
      <c r="A2348" s="869" t="s">
        <v>4409</v>
      </c>
      <c r="B2348" s="1074" t="s">
        <v>1594</v>
      </c>
      <c r="C2348" s="1075"/>
      <c r="D2348" s="1075"/>
      <c r="E2348" s="1075"/>
      <c r="F2348" s="1075"/>
      <c r="G2348" s="1075"/>
      <c r="H2348" s="1075"/>
    </row>
    <row r="2349" spans="1:8" ht="18" customHeight="1">
      <c r="B2349" s="3"/>
      <c r="C2349" s="38"/>
      <c r="D2349" s="38"/>
      <c r="E2349" s="38"/>
      <c r="F2349" s="3"/>
      <c r="G2349" s="3"/>
      <c r="H2349" s="3"/>
    </row>
    <row r="2350" spans="1:8" ht="31.5">
      <c r="B2350" s="70" t="s">
        <v>3340</v>
      </c>
      <c r="C2350" s="70" t="s">
        <v>3341</v>
      </c>
      <c r="D2350" s="70" t="s">
        <v>3342</v>
      </c>
      <c r="E2350" s="70" t="s">
        <v>3343</v>
      </c>
      <c r="F2350" s="70" t="s">
        <v>3344</v>
      </c>
      <c r="G2350" s="70" t="s">
        <v>3345</v>
      </c>
      <c r="H2350" s="70" t="s">
        <v>1704</v>
      </c>
    </row>
    <row r="2351" spans="1:8" ht="17.25">
      <c r="B2351" s="1067" t="s">
        <v>1705</v>
      </c>
      <c r="C2351" s="60" t="s">
        <v>610</v>
      </c>
      <c r="D2351" s="43">
        <v>2</v>
      </c>
      <c r="E2351" s="57" t="s">
        <v>1707</v>
      </c>
      <c r="F2351" s="111">
        <f>'update Rate'!F5</f>
        <v>525</v>
      </c>
      <c r="G2351" s="111">
        <f>FLOOR(D2351*F2351,0.01)</f>
        <v>1050</v>
      </c>
      <c r="H2351" s="112"/>
    </row>
    <row r="2352" spans="1:8" ht="17.25">
      <c r="B2352" s="1070"/>
      <c r="C2352" s="58" t="s">
        <v>1647</v>
      </c>
      <c r="D2352" s="45">
        <v>4</v>
      </c>
      <c r="E2352" s="58" t="s">
        <v>1707</v>
      </c>
      <c r="F2352" s="65">
        <f>'update Rate'!F4</f>
        <v>375</v>
      </c>
      <c r="G2352" s="65">
        <f>FLOOR(D2352*F2352,0.01)</f>
        <v>1500</v>
      </c>
      <c r="H2352" s="125">
        <f>SUM(G2351+G2352)</f>
        <v>2550</v>
      </c>
    </row>
    <row r="2353" spans="1:8" ht="18" customHeight="1">
      <c r="B2353" s="1069" t="s">
        <v>2330</v>
      </c>
      <c r="C2353" s="57" t="s">
        <v>1650</v>
      </c>
      <c r="D2353" s="43">
        <v>0.02</v>
      </c>
      <c r="E2353" s="57" t="s">
        <v>804</v>
      </c>
      <c r="F2353" s="114">
        <f>'update Rate'!F15</f>
        <v>14200</v>
      </c>
      <c r="G2353" s="113">
        <f>FLOOR(D2353*F2353,0.01)</f>
        <v>284</v>
      </c>
      <c r="H2353" s="86"/>
    </row>
    <row r="2354" spans="1:8" ht="18" customHeight="1">
      <c r="B2354" s="1095"/>
      <c r="C2354" s="55" t="s">
        <v>2623</v>
      </c>
      <c r="D2354" s="44">
        <v>750</v>
      </c>
      <c r="E2354" s="55" t="s">
        <v>803</v>
      </c>
      <c r="F2354" s="113">
        <f>'update Rate'!F10</f>
        <v>7.5</v>
      </c>
      <c r="G2354" s="113">
        <f>FLOOR(D2354*F2354,0.01)</f>
        <v>5625</v>
      </c>
      <c r="H2354" s="88"/>
    </row>
    <row r="2355" spans="1:8" ht="18" customHeight="1">
      <c r="B2355" s="1070"/>
      <c r="C2355" s="58" t="s">
        <v>2624</v>
      </c>
      <c r="D2355" s="45">
        <v>0.1</v>
      </c>
      <c r="E2355" s="58" t="s">
        <v>2530</v>
      </c>
      <c r="F2355" s="65">
        <f>'update Rate'!F8</f>
        <v>1659.57</v>
      </c>
      <c r="G2355" s="65">
        <f>FLOOR(D2355*F2355,0.01)</f>
        <v>165.95000000000002</v>
      </c>
      <c r="H2355" s="127">
        <f>SUM(G2353:G2355)</f>
        <v>6074.95</v>
      </c>
    </row>
    <row r="2356" spans="1:8" ht="18" customHeight="1">
      <c r="F2356" s="42" t="s">
        <v>1708</v>
      </c>
      <c r="G2356" s="42"/>
      <c r="H2356" s="65">
        <f>SUM(H2352:H2355)</f>
        <v>8624.9500000000007</v>
      </c>
    </row>
    <row r="2357" spans="1:8" ht="15.75">
      <c r="B2357" s="1" t="s">
        <v>1710</v>
      </c>
      <c r="F2357" s="42" t="s">
        <v>1689</v>
      </c>
      <c r="G2357" s="42"/>
      <c r="H2357" s="103">
        <f>FLOOR(H2356*0.15,0.01)</f>
        <v>1293.74</v>
      </c>
    </row>
    <row r="2358" spans="1:8" ht="18" customHeight="1">
      <c r="A2358"/>
      <c r="B2358" s="147">
        <f>+H2358</f>
        <v>9918.69</v>
      </c>
      <c r="C2358" s="28" t="s">
        <v>3384</v>
      </c>
      <c r="D2358" s="103">
        <f>INT(B2358/B2359*100)/100</f>
        <v>991.86</v>
      </c>
      <c r="E2358" s="1" t="s">
        <v>3385</v>
      </c>
      <c r="F2358" s="42" t="s">
        <v>1711</v>
      </c>
      <c r="G2358" s="42"/>
      <c r="H2358" s="103">
        <f>SUM(H2356:H2357)</f>
        <v>9918.69</v>
      </c>
    </row>
    <row r="2359" spans="1:8">
      <c r="B2359" s="121">
        <v>10</v>
      </c>
    </row>
    <row r="2360" spans="1:8">
      <c r="B2360" s="121"/>
    </row>
    <row r="2361" spans="1:8">
      <c r="B2361" s="121"/>
    </row>
    <row r="2362" spans="1:8">
      <c r="B2362" s="121"/>
    </row>
    <row r="2363" spans="1:8">
      <c r="B2363" s="121"/>
    </row>
    <row r="2364" spans="1:8" ht="18" customHeight="1">
      <c r="A2364" s="32"/>
      <c r="B2364" s="1077" t="s">
        <v>1588</v>
      </c>
      <c r="C2364" s="1077"/>
      <c r="D2364" s="1077"/>
      <c r="E2364" s="1077"/>
      <c r="F2364" s="1077"/>
      <c r="G2364" s="1077"/>
      <c r="H2364" s="1077"/>
    </row>
    <row r="2365" spans="1:8" ht="18" customHeight="1">
      <c r="A2365" s="282">
        <f>+A2347+1</f>
        <v>138</v>
      </c>
      <c r="B2365" s="1076" t="s">
        <v>1587</v>
      </c>
      <c r="C2365" s="1077"/>
      <c r="D2365" s="1077"/>
      <c r="E2365" s="1077"/>
      <c r="F2365" s="1077"/>
      <c r="G2365" s="1077"/>
      <c r="H2365" s="1077"/>
    </row>
    <row r="2366" spans="1:8" ht="18" customHeight="1">
      <c r="A2366" s="869" t="s">
        <v>4410</v>
      </c>
      <c r="B2366" s="1074" t="s">
        <v>1594</v>
      </c>
      <c r="C2366" s="1075"/>
      <c r="D2366" s="1075"/>
      <c r="E2366" s="1075"/>
      <c r="F2366" s="1075"/>
      <c r="G2366" s="1075"/>
      <c r="H2366" s="1075"/>
    </row>
    <row r="2367" spans="1:8" ht="31.5">
      <c r="B2367" s="70" t="s">
        <v>3340</v>
      </c>
      <c r="C2367" s="70" t="s">
        <v>3341</v>
      </c>
      <c r="D2367" s="70" t="s">
        <v>3342</v>
      </c>
      <c r="E2367" s="70" t="s">
        <v>3343</v>
      </c>
      <c r="F2367" s="70" t="s">
        <v>3344</v>
      </c>
      <c r="G2367" s="70" t="s">
        <v>3345</v>
      </c>
      <c r="H2367" s="70" t="s">
        <v>1704</v>
      </c>
    </row>
    <row r="2368" spans="1:8" ht="17.25">
      <c r="B2368" s="1067" t="s">
        <v>1705</v>
      </c>
      <c r="C2368" s="60" t="s">
        <v>610</v>
      </c>
      <c r="D2368" s="43">
        <v>0.5</v>
      </c>
      <c r="E2368" s="57" t="s">
        <v>1707</v>
      </c>
      <c r="F2368" s="111">
        <f>'update Rate'!F5</f>
        <v>525</v>
      </c>
      <c r="G2368" s="111">
        <f>FLOOR(D2368*F2368,0.01)</f>
        <v>262.5</v>
      </c>
      <c r="H2368" s="112"/>
    </row>
    <row r="2369" spans="1:8" ht="18" customHeight="1">
      <c r="B2369" s="1070"/>
      <c r="C2369" s="58" t="s">
        <v>1647</v>
      </c>
      <c r="D2369" s="45">
        <v>0.5</v>
      </c>
      <c r="E2369" s="58" t="s">
        <v>1707</v>
      </c>
      <c r="F2369" s="65">
        <f>'update Rate'!F4</f>
        <v>375</v>
      </c>
      <c r="G2369" s="65">
        <f>FLOOR(D2369*F2369,0.01)</f>
        <v>187.5</v>
      </c>
      <c r="H2369" s="125">
        <f>SUM(G2368+G2369)</f>
        <v>450</v>
      </c>
    </row>
    <row r="2370" spans="1:8" ht="18" customHeight="1">
      <c r="B2370" s="1069" t="s">
        <v>2330</v>
      </c>
      <c r="C2370" s="57" t="s">
        <v>1650</v>
      </c>
      <c r="D2370" s="43">
        <v>4.2</v>
      </c>
      <c r="E2370" s="57" t="s">
        <v>3096</v>
      </c>
      <c r="F2370" s="113">
        <f>'update Rate'!F15/1000</f>
        <v>14.2</v>
      </c>
      <c r="G2370" s="113">
        <f>FLOOR(D2370*F2370,0.01)</f>
        <v>59.64</v>
      </c>
      <c r="H2370" s="112"/>
    </row>
    <row r="2371" spans="1:8" ht="18.75" customHeight="1">
      <c r="B2371" s="1070"/>
      <c r="C2371" s="58" t="s">
        <v>2624</v>
      </c>
      <c r="D2371" s="51">
        <v>3.0000000000000001E-3</v>
      </c>
      <c r="E2371" s="58" t="s">
        <v>2530</v>
      </c>
      <c r="F2371" s="65">
        <f>'update Rate'!F8</f>
        <v>1659.57</v>
      </c>
      <c r="G2371" s="65">
        <f>FLOOR(D2371*F2371,0.01)</f>
        <v>4.97</v>
      </c>
      <c r="H2371" s="127">
        <f>SUM(G2370:G2371)</f>
        <v>64.61</v>
      </c>
    </row>
    <row r="2372" spans="1:8" ht="18" customHeight="1">
      <c r="F2372" s="42" t="s">
        <v>1708</v>
      </c>
      <c r="G2372" s="106"/>
      <c r="H2372" s="65">
        <f>SUM(H2371,H2369)</f>
        <v>514.61</v>
      </c>
    </row>
    <row r="2373" spans="1:8" ht="16.5">
      <c r="B2373" s="1" t="s">
        <v>1710</v>
      </c>
      <c r="F2373" s="42" t="s">
        <v>1689</v>
      </c>
      <c r="G2373" s="106"/>
      <c r="H2373" s="103">
        <f>FLOOR(H2372*0.15,0.01)</f>
        <v>77.19</v>
      </c>
    </row>
    <row r="2374" spans="1:8" ht="18" customHeight="1">
      <c r="A2374"/>
      <c r="B2374" s="147">
        <f>+H2374</f>
        <v>591.79999999999995</v>
      </c>
      <c r="C2374" s="28" t="s">
        <v>3384</v>
      </c>
      <c r="D2374" s="103">
        <f>INT(B2374/B2375*100)/100</f>
        <v>59.18</v>
      </c>
      <c r="E2374" s="1" t="s">
        <v>3385</v>
      </c>
      <c r="F2374" s="42" t="s">
        <v>1711</v>
      </c>
      <c r="G2374" s="106"/>
      <c r="H2374" s="103">
        <f>SUM(H2372:H2373)</f>
        <v>591.79999999999995</v>
      </c>
    </row>
    <row r="2375" spans="1:8">
      <c r="B2375" s="121">
        <v>10</v>
      </c>
    </row>
    <row r="2376" spans="1:8">
      <c r="B2376" s="121"/>
    </row>
    <row r="2377" spans="1:8">
      <c r="B2377" s="121"/>
    </row>
    <row r="2378" spans="1:8">
      <c r="B2378" s="121"/>
    </row>
    <row r="2379" spans="1:8" ht="18" customHeight="1">
      <c r="A2379" s="32"/>
    </row>
    <row r="2380" spans="1:8" ht="18" customHeight="1">
      <c r="A2380" s="282">
        <f>+A2365+1</f>
        <v>139</v>
      </c>
      <c r="B2380" s="1076" t="s">
        <v>439</v>
      </c>
      <c r="C2380" s="1077"/>
      <c r="D2380" s="1077"/>
      <c r="E2380" s="1077"/>
      <c r="F2380" s="1077"/>
      <c r="G2380" s="1077"/>
      <c r="H2380" s="1077"/>
    </row>
    <row r="2381" spans="1:8" ht="18" customHeight="1">
      <c r="A2381" s="869" t="s">
        <v>4411</v>
      </c>
      <c r="B2381" s="1074" t="s">
        <v>22</v>
      </c>
      <c r="C2381" s="1075"/>
      <c r="D2381" s="1075"/>
      <c r="E2381" s="1075"/>
      <c r="F2381" s="1075"/>
      <c r="G2381" s="1075"/>
      <c r="H2381" s="1075"/>
    </row>
    <row r="2382" spans="1:8" ht="31.5">
      <c r="B2382" s="70" t="s">
        <v>3340</v>
      </c>
      <c r="C2382" s="70" t="s">
        <v>3341</v>
      </c>
      <c r="D2382" s="70" t="s">
        <v>3342</v>
      </c>
      <c r="E2382" s="70" t="s">
        <v>3343</v>
      </c>
      <c r="F2382" s="70" t="s">
        <v>3344</v>
      </c>
      <c r="G2382" s="70" t="s">
        <v>3345</v>
      </c>
      <c r="H2382" s="70" t="s">
        <v>1704</v>
      </c>
    </row>
    <row r="2383" spans="1:8" ht="18" customHeight="1">
      <c r="B2383" s="1067" t="s">
        <v>1705</v>
      </c>
      <c r="C2383" s="60" t="s">
        <v>610</v>
      </c>
      <c r="D2383" s="43">
        <v>6.5</v>
      </c>
      <c r="E2383" s="57" t="s">
        <v>1707</v>
      </c>
      <c r="F2383" s="111">
        <f>'update Rate'!F5</f>
        <v>525</v>
      </c>
      <c r="G2383" s="111">
        <f>FLOOR(D2383*F2383,0.01)</f>
        <v>3412.5</v>
      </c>
      <c r="H2383" s="112"/>
    </row>
    <row r="2384" spans="1:8" ht="18" customHeight="1">
      <c r="B2384" s="1070"/>
      <c r="C2384" s="58"/>
      <c r="D2384" s="65"/>
      <c r="E2384" s="58"/>
      <c r="F2384" s="113"/>
      <c r="G2384" s="65"/>
      <c r="H2384" s="125">
        <f>SUM(G2383+G2384)</f>
        <v>3412.5</v>
      </c>
    </row>
    <row r="2385" spans="1:8" ht="16.5">
      <c r="B2385" s="1069" t="s">
        <v>2330</v>
      </c>
      <c r="C2385" s="1069" t="s">
        <v>180</v>
      </c>
      <c r="D2385" s="842"/>
      <c r="E2385" s="1069" t="s">
        <v>2530</v>
      </c>
      <c r="F2385" s="8"/>
      <c r="G2385" s="43"/>
      <c r="H2385" s="86"/>
    </row>
    <row r="2386" spans="1:8" ht="18" customHeight="1">
      <c r="B2386" s="1073"/>
      <c r="C2386" s="1073"/>
      <c r="D2386" s="843">
        <v>11</v>
      </c>
      <c r="E2386" s="1073"/>
      <c r="F2386" s="127">
        <f>'update Rate'!$F$7</f>
        <v>1129.92</v>
      </c>
      <c r="G2386" s="65">
        <f>FLOOR(D2386*F2386,0.01)</f>
        <v>12429.12</v>
      </c>
      <c r="H2386" s="127">
        <f>SUM(G2386)</f>
        <v>12429.12</v>
      </c>
    </row>
    <row r="2387" spans="1:8" ht="18" customHeight="1">
      <c r="F2387" s="42"/>
      <c r="G2387" s="42"/>
      <c r="H2387" s="65">
        <f>SUM(H2386,H2384)</f>
        <v>15841.62</v>
      </c>
    </row>
    <row r="2388" spans="1:8" ht="15.75">
      <c r="B2388" s="1" t="s">
        <v>3658</v>
      </c>
      <c r="F2388" s="42" t="s">
        <v>1689</v>
      </c>
      <c r="G2388" s="42"/>
      <c r="H2388" s="103">
        <f>FLOOR(H2387*0.15,0.01)</f>
        <v>2376.2400000000002</v>
      </c>
    </row>
    <row r="2389" spans="1:8" ht="15.75">
      <c r="A2389"/>
      <c r="B2389" s="147">
        <f>+H2389</f>
        <v>18217.86</v>
      </c>
      <c r="C2389" s="28" t="s">
        <v>3384</v>
      </c>
      <c r="D2389" s="103">
        <f>INT(B2389/B2390*100)/100</f>
        <v>1821.78</v>
      </c>
      <c r="E2389" s="1" t="s">
        <v>3385</v>
      </c>
      <c r="F2389" s="42" t="s">
        <v>1711</v>
      </c>
      <c r="G2389" s="42"/>
      <c r="H2389" s="103">
        <f>SUM(H2387:H2388)</f>
        <v>18217.86</v>
      </c>
    </row>
    <row r="2390" spans="1:8" ht="18" customHeight="1">
      <c r="A2390" s="28"/>
      <c r="B2390" s="121">
        <v>10</v>
      </c>
      <c r="H2390" s="19"/>
    </row>
    <row r="2391" spans="1:8" ht="18" customHeight="1">
      <c r="A2391" s="28"/>
      <c r="B2391" s="121"/>
      <c r="H2391" s="19"/>
    </row>
    <row r="2392" spans="1:8" ht="18" customHeight="1">
      <c r="A2392" s="28"/>
      <c r="B2392" s="121"/>
      <c r="H2392" s="19"/>
    </row>
    <row r="2393" spans="1:8" ht="18" customHeight="1">
      <c r="A2393" s="282">
        <f>+A2380+1</f>
        <v>140</v>
      </c>
      <c r="B2393" s="1076" t="s">
        <v>2229</v>
      </c>
      <c r="C2393" s="1077"/>
      <c r="D2393" s="1077"/>
      <c r="E2393" s="1077"/>
      <c r="F2393" s="1077"/>
      <c r="G2393" s="1077"/>
      <c r="H2393" s="1077"/>
    </row>
    <row r="2394" spans="1:8">
      <c r="A2394" s="869" t="s">
        <v>4411</v>
      </c>
      <c r="B2394" s="1074" t="s">
        <v>22</v>
      </c>
      <c r="C2394" s="1075"/>
      <c r="D2394" s="1075"/>
      <c r="E2394" s="1075"/>
      <c r="F2394" s="1075"/>
      <c r="G2394" s="1075"/>
      <c r="H2394" s="1075"/>
    </row>
    <row r="2395" spans="1:8" ht="31.5">
      <c r="B2395" s="70" t="s">
        <v>3340</v>
      </c>
      <c r="C2395" s="70" t="s">
        <v>3341</v>
      </c>
      <c r="D2395" s="70" t="s">
        <v>3342</v>
      </c>
      <c r="E2395" s="70" t="s">
        <v>3343</v>
      </c>
      <c r="F2395" s="70" t="s">
        <v>3344</v>
      </c>
      <c r="G2395" s="70" t="s">
        <v>3345</v>
      </c>
      <c r="H2395" s="70" t="s">
        <v>1704</v>
      </c>
    </row>
    <row r="2396" spans="1:8" ht="15.75">
      <c r="B2396" s="1067" t="s">
        <v>1705</v>
      </c>
      <c r="C2396" s="60" t="s">
        <v>610</v>
      </c>
      <c r="D2396" s="8"/>
      <c r="E2396" s="78" t="s">
        <v>1707</v>
      </c>
      <c r="F2396" s="8"/>
      <c r="G2396" s="87"/>
      <c r="H2396" s="86"/>
    </row>
    <row r="2397" spans="1:8">
      <c r="B2397" s="1070"/>
      <c r="C2397" s="203"/>
      <c r="D2397" s="843">
        <v>10</v>
      </c>
      <c r="E2397" s="203"/>
      <c r="F2397" s="126">
        <f>'update Rate'!F5</f>
        <v>525</v>
      </c>
      <c r="G2397" s="165">
        <f>FLOOR(D2397*F2397,0.01)</f>
        <v>5250</v>
      </c>
      <c r="H2397" s="125">
        <f>SUM(G2396+G2397)</f>
        <v>5250</v>
      </c>
    </row>
    <row r="2398" spans="1:8" ht="26.25" customHeight="1">
      <c r="B2398" s="1069" t="s">
        <v>2330</v>
      </c>
      <c r="C2398" s="1069" t="s">
        <v>1589</v>
      </c>
      <c r="D2398" s="944"/>
      <c r="E2398" s="1069" t="s">
        <v>2530</v>
      </c>
      <c r="F2398" s="113"/>
      <c r="G2398" s="166"/>
      <c r="H2398" s="86"/>
    </row>
    <row r="2399" spans="1:8" ht="18" customHeight="1">
      <c r="B2399" s="1073"/>
      <c r="C2399" s="1073"/>
      <c r="D2399" s="843">
        <v>11</v>
      </c>
      <c r="E2399" s="1073"/>
      <c r="F2399" s="165">
        <f>'update Rate'!F14</f>
        <v>1235.8499999999999</v>
      </c>
      <c r="G2399" s="165">
        <f>FLOOR(D2399*F2399,0.01)</f>
        <v>13594.35</v>
      </c>
      <c r="H2399" s="127">
        <f>SUM(G2398:G2399)</f>
        <v>13594.35</v>
      </c>
    </row>
    <row r="2400" spans="1:8" ht="16.5">
      <c r="F2400" s="42" t="s">
        <v>1708</v>
      </c>
      <c r="G2400" s="106"/>
      <c r="H2400" s="65">
        <f>SUM(H2397:H2399)</f>
        <v>18844.349999999999</v>
      </c>
    </row>
    <row r="2401" spans="1:8" ht="16.5">
      <c r="B2401" s="1" t="s">
        <v>3658</v>
      </c>
      <c r="F2401" s="42" t="s">
        <v>1689</v>
      </c>
      <c r="G2401" s="106"/>
      <c r="H2401" s="103">
        <f>FLOOR(H2400*0.15,0.01)</f>
        <v>2826.65</v>
      </c>
    </row>
    <row r="2402" spans="1:8" ht="18" customHeight="1">
      <c r="A2402"/>
      <c r="B2402" s="147">
        <f>+H2402</f>
        <v>21671</v>
      </c>
      <c r="C2402" s="28" t="s">
        <v>3384</v>
      </c>
      <c r="D2402" s="103">
        <f>INT(B2402/B2403*100)/100</f>
        <v>2167.1</v>
      </c>
      <c r="E2402" s="1" t="s">
        <v>3385</v>
      </c>
      <c r="F2402" s="42" t="s">
        <v>1711</v>
      </c>
      <c r="G2402" s="106"/>
      <c r="H2402" s="103">
        <f>SUM(H2400:H2401)</f>
        <v>21671</v>
      </c>
    </row>
    <row r="2403" spans="1:8" ht="18" customHeight="1">
      <c r="B2403" s="121">
        <v>10</v>
      </c>
    </row>
    <row r="2404" spans="1:8" ht="18" customHeight="1">
      <c r="B2404" s="121"/>
    </row>
    <row r="2405" spans="1:8" ht="18" customHeight="1">
      <c r="B2405" s="121"/>
    </row>
    <row r="2406" spans="1:8" ht="18" customHeight="1"/>
    <row r="2407" spans="1:8" ht="18" customHeight="1">
      <c r="A2407" s="282">
        <f>+A2393+1</f>
        <v>141</v>
      </c>
      <c r="B2407" s="1076" t="s">
        <v>2500</v>
      </c>
      <c r="C2407" s="1077"/>
      <c r="D2407" s="1077"/>
      <c r="E2407" s="1077"/>
      <c r="F2407" s="1077"/>
      <c r="G2407" s="1077"/>
      <c r="H2407" s="1077"/>
    </row>
    <row r="2408" spans="1:8">
      <c r="A2408" s="869" t="s">
        <v>4412</v>
      </c>
      <c r="B2408" s="1074" t="s">
        <v>1594</v>
      </c>
      <c r="C2408" s="1075"/>
      <c r="D2408" s="1075"/>
      <c r="E2408" s="1075"/>
      <c r="F2408" s="1075"/>
      <c r="G2408" s="1075"/>
      <c r="H2408" s="1075"/>
    </row>
    <row r="2409" spans="1:8" ht="31.5">
      <c r="B2409" s="70" t="s">
        <v>3340</v>
      </c>
      <c r="C2409" s="70" t="s">
        <v>3341</v>
      </c>
      <c r="D2409" s="70" t="s">
        <v>3342</v>
      </c>
      <c r="E2409" s="70" t="s">
        <v>3343</v>
      </c>
      <c r="F2409" s="70" t="s">
        <v>3344</v>
      </c>
      <c r="G2409" s="70" t="s">
        <v>3345</v>
      </c>
      <c r="H2409" s="70" t="s">
        <v>1704</v>
      </c>
    </row>
    <row r="2410" spans="1:8" ht="15.75">
      <c r="B2410" s="1067" t="s">
        <v>1705</v>
      </c>
      <c r="C2410" s="60" t="s">
        <v>610</v>
      </c>
      <c r="D2410" s="840">
        <v>1</v>
      </c>
      <c r="E2410" s="57" t="s">
        <v>1707</v>
      </c>
      <c r="F2410" s="111">
        <f>'update Rate'!F5</f>
        <v>525</v>
      </c>
      <c r="G2410" s="111">
        <f>FLOOR(D2410*F2410,0.01)</f>
        <v>525</v>
      </c>
      <c r="H2410" s="112"/>
    </row>
    <row r="2411" spans="1:8" ht="15.75">
      <c r="B2411" s="1070"/>
      <c r="C2411" s="80" t="s">
        <v>1647</v>
      </c>
      <c r="D2411" s="841">
        <v>1</v>
      </c>
      <c r="E2411" s="58" t="s">
        <v>1707</v>
      </c>
      <c r="F2411" s="65">
        <f>'update Rate'!F4</f>
        <v>375</v>
      </c>
      <c r="G2411" s="65">
        <f>FLOOR(D2411*F2411,0.01)</f>
        <v>375</v>
      </c>
      <c r="H2411" s="125">
        <f>SUM(G2410+G2411)</f>
        <v>900</v>
      </c>
    </row>
    <row r="2412" spans="1:8">
      <c r="B2412" s="1069" t="s">
        <v>2330</v>
      </c>
      <c r="C2412" s="1069" t="s">
        <v>1650</v>
      </c>
      <c r="D2412" s="8"/>
      <c r="E2412" s="1069" t="s">
        <v>804</v>
      </c>
      <c r="F2412" s="113"/>
      <c r="G2412" s="18"/>
      <c r="H2412" s="27"/>
    </row>
    <row r="2413" spans="1:8" ht="18" customHeight="1">
      <c r="B2413" s="1073"/>
      <c r="C2413" s="1073"/>
      <c r="D2413" s="262">
        <v>5.3199999999999997E-2</v>
      </c>
      <c r="E2413" s="1073"/>
      <c r="F2413" s="65">
        <f>'update Rate'!F15</f>
        <v>14200</v>
      </c>
      <c r="G2413" s="65">
        <f>FLOOR(D2413*F2413,0.01)</f>
        <v>755.44</v>
      </c>
      <c r="H2413" s="127">
        <f>SUM(G2412:G2413)</f>
        <v>755.44</v>
      </c>
    </row>
    <row r="2414" spans="1:8" ht="18" customHeight="1">
      <c r="F2414" s="42" t="s">
        <v>1708</v>
      </c>
      <c r="G2414" s="106"/>
      <c r="H2414" s="65">
        <f>SUM(H2413,H2411)</f>
        <v>1655.44</v>
      </c>
    </row>
    <row r="2415" spans="1:8" ht="18" customHeight="1">
      <c r="B2415" s="1" t="s">
        <v>1710</v>
      </c>
      <c r="F2415" s="42" t="s">
        <v>1689</v>
      </c>
      <c r="G2415" s="106"/>
      <c r="H2415" s="103">
        <f>FLOOR(H2414*0.15,0.01)</f>
        <v>248.31</v>
      </c>
    </row>
    <row r="2416" spans="1:8" ht="16.5">
      <c r="A2416"/>
      <c r="B2416" s="147">
        <f>+H2416</f>
        <v>1903.75</v>
      </c>
      <c r="C2416" s="28" t="s">
        <v>3384</v>
      </c>
      <c r="D2416" s="103">
        <f>INT(B2416/B2417*100)/100</f>
        <v>190.37</v>
      </c>
      <c r="E2416" s="1" t="s">
        <v>3385</v>
      </c>
      <c r="F2416" s="42" t="s">
        <v>1711</v>
      </c>
      <c r="G2416" s="106"/>
      <c r="H2416" s="103">
        <f>SUM(H2414:H2415)</f>
        <v>1903.75</v>
      </c>
    </row>
    <row r="2417" spans="1:8" ht="18" customHeight="1">
      <c r="B2417" s="121">
        <v>10</v>
      </c>
    </row>
    <row r="2418" spans="1:8" ht="18" customHeight="1">
      <c r="B2418" s="121"/>
    </row>
    <row r="2419" spans="1:8" ht="18" customHeight="1">
      <c r="B2419" s="121"/>
    </row>
    <row r="2420" spans="1:8" ht="18" customHeight="1">
      <c r="B2420" s="121"/>
    </row>
    <row r="2421" spans="1:8" ht="18" customHeight="1">
      <c r="B2421" s="121"/>
    </row>
    <row r="2422" spans="1:8" ht="18" customHeight="1">
      <c r="B2422" s="121"/>
    </row>
    <row r="2423" spans="1:8" ht="18" customHeight="1">
      <c r="A2423" s="32"/>
      <c r="B2423" s="1077" t="s">
        <v>1602</v>
      </c>
      <c r="C2423" s="1077"/>
      <c r="D2423" s="1077"/>
      <c r="E2423" s="1077"/>
      <c r="F2423" s="1077"/>
      <c r="G2423" s="1077"/>
      <c r="H2423" s="1077"/>
    </row>
    <row r="2424" spans="1:8" ht="18" customHeight="1">
      <c r="A2424" s="282">
        <f>+A2407+1</f>
        <v>142</v>
      </c>
      <c r="B2424" s="1071" t="s">
        <v>2502</v>
      </c>
      <c r="C2424" s="1072"/>
      <c r="D2424" s="1072"/>
      <c r="E2424" s="1072"/>
      <c r="F2424" s="1072"/>
      <c r="G2424" s="1072"/>
      <c r="H2424" s="1072"/>
    </row>
    <row r="2425" spans="1:8" ht="18" customHeight="1">
      <c r="A2425" s="869" t="s">
        <v>4413</v>
      </c>
      <c r="B2425" s="1074" t="s">
        <v>1594</v>
      </c>
      <c r="C2425" s="1075"/>
      <c r="D2425" s="1075"/>
      <c r="E2425" s="1075"/>
      <c r="F2425" s="1075"/>
      <c r="G2425" s="1075"/>
      <c r="H2425" s="1075"/>
    </row>
    <row r="2426" spans="1:8" ht="31.5">
      <c r="B2426" s="70" t="s">
        <v>3340</v>
      </c>
      <c r="C2426" s="70" t="s">
        <v>3341</v>
      </c>
      <c r="D2426" s="70" t="s">
        <v>3342</v>
      </c>
      <c r="E2426" s="70" t="s">
        <v>3343</v>
      </c>
      <c r="F2426" s="70" t="s">
        <v>3344</v>
      </c>
      <c r="G2426" s="70" t="s">
        <v>3345</v>
      </c>
      <c r="H2426" s="70" t="s">
        <v>1704</v>
      </c>
    </row>
    <row r="2427" spans="1:8" ht="17.25">
      <c r="B2427" s="1067" t="s">
        <v>1705</v>
      </c>
      <c r="C2427" s="60" t="s">
        <v>610</v>
      </c>
      <c r="D2427" s="43">
        <v>6.5</v>
      </c>
      <c r="E2427" s="57" t="s">
        <v>1707</v>
      </c>
      <c r="F2427" s="111">
        <f>'update Rate'!F5</f>
        <v>525</v>
      </c>
      <c r="G2427" s="111">
        <f>FLOOR(D2427*F2427,0.01)</f>
        <v>3412.5</v>
      </c>
      <c r="H2427" s="112"/>
    </row>
    <row r="2428" spans="1:8" ht="17.25">
      <c r="B2428" s="1070"/>
      <c r="C2428" s="80" t="s">
        <v>1647</v>
      </c>
      <c r="D2428" s="45">
        <v>0.65</v>
      </c>
      <c r="E2428" s="58" t="s">
        <v>1707</v>
      </c>
      <c r="F2428" s="65">
        <f>'update Rate'!F4</f>
        <v>375</v>
      </c>
      <c r="G2428" s="65">
        <f>FLOOR(D2428*F2428,0.01)</f>
        <v>243.75</v>
      </c>
      <c r="H2428" s="125">
        <f>SUM(G2427+G2428)</f>
        <v>3656.25</v>
      </c>
    </row>
    <row r="2429" spans="1:8" ht="17.25">
      <c r="B2429" s="1069" t="s">
        <v>2330</v>
      </c>
      <c r="C2429" s="57" t="s">
        <v>2178</v>
      </c>
      <c r="D2429" s="48">
        <v>0.42099999999999999</v>
      </c>
      <c r="E2429" s="57" t="s">
        <v>2530</v>
      </c>
      <c r="F2429" s="114">
        <f>awood</f>
        <v>120054</v>
      </c>
      <c r="G2429" s="113">
        <f>FLOOR(D2429*F2429,0.01)</f>
        <v>50542.73</v>
      </c>
      <c r="H2429" s="112"/>
    </row>
    <row r="2430" spans="1:8" ht="17.25">
      <c r="B2430" s="1070"/>
      <c r="C2430" s="58" t="s">
        <v>2503</v>
      </c>
      <c r="D2430" s="45">
        <v>2</v>
      </c>
      <c r="E2430" s="58" t="s">
        <v>3096</v>
      </c>
      <c r="F2430" s="65">
        <f>'update Rate'!$F$58</f>
        <v>99</v>
      </c>
      <c r="G2430" s="65">
        <f>FLOOR(D2430*F2430,0.01)</f>
        <v>198</v>
      </c>
      <c r="H2430" s="127">
        <f>SUM(G2429:G2430)</f>
        <v>50740.73</v>
      </c>
    </row>
    <row r="2431" spans="1:8" ht="18" customHeight="1">
      <c r="F2431" s="42" t="s">
        <v>1708</v>
      </c>
      <c r="G2431" s="106"/>
      <c r="H2431" s="65">
        <f>SUM(H2430,H2428)</f>
        <v>54396.98</v>
      </c>
    </row>
    <row r="2432" spans="1:8" ht="18" customHeight="1">
      <c r="B2432" s="1" t="s">
        <v>1710</v>
      </c>
      <c r="F2432" s="42" t="s">
        <v>1689</v>
      </c>
      <c r="G2432" s="106"/>
      <c r="H2432" s="103">
        <f>FLOOR(H2431*0.15,0.01)</f>
        <v>8159.54</v>
      </c>
    </row>
    <row r="2433" spans="1:8" ht="18" customHeight="1">
      <c r="A2433"/>
      <c r="B2433" s="147">
        <f>+H2433</f>
        <v>62556.520000000004</v>
      </c>
      <c r="C2433" s="28" t="s">
        <v>3384</v>
      </c>
      <c r="D2433" s="103">
        <f>INT(B2433/B2434*100)/100</f>
        <v>6255.65</v>
      </c>
      <c r="E2433" s="1" t="s">
        <v>3385</v>
      </c>
      <c r="F2433" s="42" t="s">
        <v>1711</v>
      </c>
      <c r="G2433" s="106"/>
      <c r="H2433" s="103">
        <f>SUM(H2431:H2432)</f>
        <v>62556.520000000004</v>
      </c>
    </row>
    <row r="2434" spans="1:8" ht="28.5" customHeight="1">
      <c r="B2434" s="121">
        <v>10</v>
      </c>
    </row>
    <row r="2435" spans="1:8" ht="14.25" customHeight="1">
      <c r="B2435" s="121"/>
    </row>
    <row r="2436" spans="1:8" ht="34.5" customHeight="1">
      <c r="A2436" s="282">
        <f>A2424+1</f>
        <v>143</v>
      </c>
      <c r="B2436" s="1173" t="s">
        <v>177</v>
      </c>
      <c r="C2436" s="1174"/>
      <c r="D2436" s="1174"/>
      <c r="E2436" s="1174"/>
      <c r="F2436" s="1174"/>
      <c r="G2436" s="1174"/>
      <c r="H2436" s="1174"/>
    </row>
    <row r="2437" spans="1:8" ht="18" customHeight="1">
      <c r="A2437" s="869" t="s">
        <v>4414</v>
      </c>
      <c r="B2437" s="1100" t="s">
        <v>1594</v>
      </c>
      <c r="C2437" s="1083"/>
      <c r="D2437" s="1083"/>
      <c r="E2437" s="1083"/>
      <c r="F2437" s="1083"/>
      <c r="G2437" s="1083"/>
      <c r="H2437" s="1083"/>
    </row>
    <row r="2438" spans="1:8" ht="31.5">
      <c r="B2438" s="70" t="s">
        <v>3340</v>
      </c>
      <c r="C2438" s="70" t="s">
        <v>3341</v>
      </c>
      <c r="D2438" s="70" t="s">
        <v>3342</v>
      </c>
      <c r="E2438" s="70" t="s">
        <v>3343</v>
      </c>
      <c r="F2438" s="70" t="s">
        <v>3344</v>
      </c>
      <c r="G2438" s="70" t="s">
        <v>3345</v>
      </c>
      <c r="H2438" s="70" t="s">
        <v>1704</v>
      </c>
    </row>
    <row r="2439" spans="1:8" ht="18" customHeight="1">
      <c r="B2439" s="1067" t="s">
        <v>1705</v>
      </c>
      <c r="C2439" s="60" t="s">
        <v>610</v>
      </c>
      <c r="D2439" s="43">
        <v>1</v>
      </c>
      <c r="E2439" s="57" t="s">
        <v>1707</v>
      </c>
      <c r="F2439" s="111">
        <f>mason</f>
        <v>525</v>
      </c>
      <c r="G2439" s="111">
        <f>FLOOR(D2439*F2439,0.01)</f>
        <v>525</v>
      </c>
      <c r="H2439" s="1120">
        <f>G2439+G2440+G2441</f>
        <v>4275</v>
      </c>
    </row>
    <row r="2440" spans="1:8" ht="17.25">
      <c r="B2440" s="1093"/>
      <c r="C2440" s="55" t="s">
        <v>1647</v>
      </c>
      <c r="D2440" s="44">
        <v>3</v>
      </c>
      <c r="E2440" s="55" t="s">
        <v>1707</v>
      </c>
      <c r="F2440" s="113">
        <f>'update Rate'!F4</f>
        <v>375</v>
      </c>
      <c r="G2440" s="113">
        <f>FLOOR(D2440*F2440,0.01)</f>
        <v>1125</v>
      </c>
      <c r="H2440" s="1175"/>
    </row>
    <row r="2441" spans="1:8" ht="19.5">
      <c r="B2441" s="1070"/>
      <c r="C2441" s="58" t="s">
        <v>4057</v>
      </c>
      <c r="D2441" s="45">
        <v>7</v>
      </c>
      <c r="E2441" s="58" t="s">
        <v>1707</v>
      </c>
      <c r="F2441" s="65">
        <f>'update Rate'!F4</f>
        <v>375</v>
      </c>
      <c r="G2441" s="65">
        <f>FLOOR(D2441*F2441,0.01)</f>
        <v>2625</v>
      </c>
      <c r="H2441" s="1121"/>
    </row>
    <row r="2442" spans="1:8" ht="17.25">
      <c r="B2442" s="1069" t="s">
        <v>2330</v>
      </c>
      <c r="C2442" s="57" t="s">
        <v>3862</v>
      </c>
      <c r="D2442" s="43">
        <v>11</v>
      </c>
      <c r="E2442" s="57" t="s">
        <v>3170</v>
      </c>
      <c r="F2442" s="114">
        <f>'update Rate'!F437</f>
        <v>494.96</v>
      </c>
      <c r="G2442" s="113">
        <f>FLOOR(D2442*F2442,0.01)</f>
        <v>5444.56</v>
      </c>
      <c r="H2442" s="88"/>
    </row>
    <row r="2443" spans="1:8" ht="17.25">
      <c r="B2443" s="1094"/>
      <c r="C2443" s="55" t="s">
        <v>4056</v>
      </c>
      <c r="D2443" s="790">
        <v>0.55000000000000004</v>
      </c>
      <c r="E2443" s="55" t="s">
        <v>3170</v>
      </c>
      <c r="F2443" s="113">
        <f>E2449</f>
        <v>37.075499999999998</v>
      </c>
      <c r="G2443" s="113">
        <f>F2443*D2443</f>
        <v>20.391525000000001</v>
      </c>
      <c r="H2443" s="88"/>
    </row>
    <row r="2444" spans="1:8" ht="17.25">
      <c r="B2444" s="1070"/>
      <c r="C2444" s="58" t="s">
        <v>1697</v>
      </c>
      <c r="D2444" s="45">
        <v>0.71</v>
      </c>
      <c r="E2444" s="58" t="s">
        <v>2530</v>
      </c>
      <c r="F2444" s="65">
        <f>'update Rate'!F20</f>
        <v>741.51</v>
      </c>
      <c r="G2444" s="65">
        <f>FLOOR(D2444*F2444,0.01)</f>
        <v>526.47</v>
      </c>
      <c r="H2444" s="89">
        <f>SUM(G2442:G2444)</f>
        <v>5991.4215250000007</v>
      </c>
    </row>
    <row r="2445" spans="1:8" ht="17.25">
      <c r="F2445" s="42" t="s">
        <v>1708</v>
      </c>
      <c r="G2445" s="42"/>
      <c r="H2445" s="45">
        <f>SUM(H2439:H2444)</f>
        <v>10266.421525000002</v>
      </c>
    </row>
    <row r="2446" spans="1:8" ht="18" customHeight="1">
      <c r="B2446" s="1" t="s">
        <v>1710</v>
      </c>
      <c r="F2446" s="42" t="s">
        <v>1689</v>
      </c>
      <c r="G2446" s="42"/>
      <c r="H2446" s="103">
        <f>FLOOR(H2445*0.15,0.01)</f>
        <v>1539.96</v>
      </c>
    </row>
    <row r="2447" spans="1:8" ht="18" customHeight="1">
      <c r="A2447"/>
      <c r="B2447" s="147">
        <f>+H2447</f>
        <v>11806.381525000001</v>
      </c>
      <c r="C2447" s="28" t="s">
        <v>3384</v>
      </c>
      <c r="D2447" s="103">
        <f>INT(B2447/B2448*100)/100</f>
        <v>1180.6300000000001</v>
      </c>
      <c r="E2447" s="1" t="s">
        <v>3385</v>
      </c>
      <c r="F2447" s="42" t="s">
        <v>1711</v>
      </c>
      <c r="G2447" s="42"/>
      <c r="H2447" s="46">
        <f>SUM(H2445:H2446)</f>
        <v>11806.381525000001</v>
      </c>
    </row>
    <row r="2448" spans="1:8">
      <c r="B2448" s="121">
        <v>10</v>
      </c>
    </row>
    <row r="2449" spans="1:8">
      <c r="A2449" s="1" t="s">
        <v>4323</v>
      </c>
      <c r="B2449" s="121"/>
      <c r="D2449" s="1030">
        <f>F2444</f>
        <v>741.51</v>
      </c>
      <c r="E2449" s="1030">
        <f>D2449*0.05</f>
        <v>37.075499999999998</v>
      </c>
    </row>
    <row r="2450" spans="1:8">
      <c r="B2450" s="121"/>
      <c r="D2450" s="1047"/>
      <c r="E2450" s="1047"/>
    </row>
    <row r="2451" spans="1:8">
      <c r="B2451" s="121"/>
    </row>
    <row r="2452" spans="1:8" ht="34.5" customHeight="1">
      <c r="A2452" s="282">
        <f>A2436+1</f>
        <v>144</v>
      </c>
      <c r="B2452" s="1173" t="s">
        <v>1695</v>
      </c>
      <c r="C2452" s="1174"/>
      <c r="D2452" s="1174"/>
      <c r="E2452" s="1174"/>
      <c r="F2452" s="1174"/>
      <c r="G2452" s="1174"/>
      <c r="H2452" s="1174"/>
    </row>
    <row r="2453" spans="1:8" ht="18" customHeight="1">
      <c r="A2453" s="869" t="s">
        <v>4415</v>
      </c>
      <c r="B2453" s="1100" t="s">
        <v>1594</v>
      </c>
      <c r="C2453" s="1083"/>
      <c r="D2453" s="1083"/>
      <c r="E2453" s="1083"/>
      <c r="F2453" s="1083"/>
      <c r="G2453" s="1083"/>
      <c r="H2453" s="1083"/>
    </row>
    <row r="2454" spans="1:8" ht="31.5">
      <c r="B2454" s="70" t="s">
        <v>3340</v>
      </c>
      <c r="C2454" s="70" t="s">
        <v>3341</v>
      </c>
      <c r="D2454" s="70" t="s">
        <v>3342</v>
      </c>
      <c r="E2454" s="70" t="s">
        <v>3343</v>
      </c>
      <c r="F2454" s="70" t="s">
        <v>3344</v>
      </c>
      <c r="G2454" s="70" t="s">
        <v>3345</v>
      </c>
      <c r="H2454" s="70" t="s">
        <v>1704</v>
      </c>
    </row>
    <row r="2455" spans="1:8" ht="18" customHeight="1">
      <c r="B2455" s="1067" t="s">
        <v>1705</v>
      </c>
      <c r="C2455" s="60" t="s">
        <v>610</v>
      </c>
      <c r="D2455" s="43">
        <v>1</v>
      </c>
      <c r="E2455" s="57" t="s">
        <v>1707</v>
      </c>
      <c r="F2455" s="111">
        <f>mason</f>
        <v>525</v>
      </c>
      <c r="G2455" s="111">
        <f>FLOOR(D2455*F2455,0.01)</f>
        <v>525</v>
      </c>
      <c r="H2455" s="1120">
        <f>G2455+G2456+G2457</f>
        <v>4275</v>
      </c>
    </row>
    <row r="2456" spans="1:8" ht="18" customHeight="1">
      <c r="B2456" s="1093"/>
      <c r="C2456" s="55" t="s">
        <v>1647</v>
      </c>
      <c r="D2456" s="44">
        <v>3</v>
      </c>
      <c r="E2456" s="55" t="s">
        <v>1707</v>
      </c>
      <c r="F2456" s="113">
        <f>'update Rate'!F4</f>
        <v>375</v>
      </c>
      <c r="G2456" s="113">
        <f>FLOOR(D2456*F2456,0.01)</f>
        <v>1125</v>
      </c>
      <c r="H2456" s="1175"/>
    </row>
    <row r="2457" spans="1:8" ht="17.25">
      <c r="B2457" s="1070"/>
      <c r="C2457" s="58" t="s">
        <v>1696</v>
      </c>
      <c r="D2457" s="45">
        <v>7</v>
      </c>
      <c r="E2457" s="58" t="s">
        <v>1707</v>
      </c>
      <c r="F2457" s="65">
        <f>'update Rate'!F4</f>
        <v>375</v>
      </c>
      <c r="G2457" s="65">
        <f>FLOOR(D2457*F2457,0.01)</f>
        <v>2625</v>
      </c>
      <c r="H2457" s="1121"/>
    </row>
    <row r="2458" spans="1:8" ht="17.25">
      <c r="B2458" s="1069" t="s">
        <v>2330</v>
      </c>
      <c r="C2458" s="57" t="s">
        <v>3862</v>
      </c>
      <c r="D2458" s="43">
        <v>11</v>
      </c>
      <c r="E2458" s="57" t="s">
        <v>3170</v>
      </c>
      <c r="F2458" s="114">
        <f>'update Rate'!F455</f>
        <v>516.48</v>
      </c>
      <c r="G2458" s="113">
        <f>FLOOR(D2458*F2458,0.01)</f>
        <v>5681.28</v>
      </c>
      <c r="H2458" s="88"/>
    </row>
    <row r="2459" spans="1:8" ht="17.25">
      <c r="B2459" s="1094"/>
      <c r="C2459" s="55" t="s">
        <v>4058</v>
      </c>
      <c r="D2459" s="790">
        <v>0.55000000000000004</v>
      </c>
      <c r="E2459" s="55" t="s">
        <v>3170</v>
      </c>
      <c r="F2459" s="113">
        <f>E2465</f>
        <v>44.490600000000001</v>
      </c>
      <c r="G2459" s="113">
        <f>F2459*D2459</f>
        <v>24.469830000000002</v>
      </c>
      <c r="H2459" s="88"/>
    </row>
    <row r="2460" spans="1:8" ht="17.25">
      <c r="B2460" s="1070"/>
      <c r="C2460" s="58" t="s">
        <v>1697</v>
      </c>
      <c r="D2460" s="45">
        <v>0.71</v>
      </c>
      <c r="E2460" s="58" t="s">
        <v>2530</v>
      </c>
      <c r="F2460" s="65">
        <f>'update Rate'!F20</f>
        <v>741.51</v>
      </c>
      <c r="G2460" s="65">
        <f>FLOOR(D2460*F2460,0.01)</f>
        <v>526.47</v>
      </c>
      <c r="H2460" s="89">
        <f>SUM(G2458:G2460)</f>
        <v>6232.21983</v>
      </c>
    </row>
    <row r="2461" spans="1:8" ht="30" customHeight="1">
      <c r="F2461" s="42" t="s">
        <v>1708</v>
      </c>
      <c r="G2461" s="42"/>
      <c r="H2461" s="45">
        <f>SUM(H2455:H2460)</f>
        <v>10507.21983</v>
      </c>
    </row>
    <row r="2462" spans="1:8" ht="20.25" customHeight="1">
      <c r="B2462" s="1" t="s">
        <v>1710</v>
      </c>
      <c r="F2462" s="42" t="s">
        <v>1689</v>
      </c>
      <c r="G2462" s="42"/>
      <c r="H2462" s="103">
        <f>FLOOR(H2461*0.15,0.01)</f>
        <v>1576.08</v>
      </c>
    </row>
    <row r="2463" spans="1:8" ht="18" customHeight="1">
      <c r="A2463"/>
      <c r="B2463" s="147">
        <f>+H2463</f>
        <v>12083.29983</v>
      </c>
      <c r="C2463" s="28" t="s">
        <v>3384</v>
      </c>
      <c r="D2463" s="103">
        <f>INT(B2463/B2464*100)/100</f>
        <v>1208.32</v>
      </c>
      <c r="E2463" s="1" t="s">
        <v>3385</v>
      </c>
      <c r="F2463" s="42" t="s">
        <v>1711</v>
      </c>
      <c r="G2463" s="42"/>
      <c r="H2463" s="46">
        <f>SUM(H2461:H2462)</f>
        <v>12083.29983</v>
      </c>
    </row>
    <row r="2464" spans="1:8">
      <c r="B2464" s="121">
        <v>10</v>
      </c>
    </row>
    <row r="2465" spans="1:8">
      <c r="A2465" s="1" t="s">
        <v>4324</v>
      </c>
      <c r="B2465" s="121"/>
      <c r="D2465" s="1030">
        <f>F2460</f>
        <v>741.51</v>
      </c>
      <c r="E2465" s="1030">
        <f>D2465*0.06</f>
        <v>44.490600000000001</v>
      </c>
    </row>
    <row r="2466" spans="1:8">
      <c r="B2466" s="121"/>
      <c r="D2466" s="1048"/>
      <c r="E2466" s="1048"/>
    </row>
    <row r="2467" spans="1:8">
      <c r="B2467" s="121"/>
      <c r="D2467" s="1048"/>
      <c r="E2467" s="1048"/>
    </row>
    <row r="2468" spans="1:8">
      <c r="B2468" s="121"/>
    </row>
    <row r="2469" spans="1:8" ht="18" customHeight="1">
      <c r="A2469" s="282">
        <f>+A2452+1</f>
        <v>145</v>
      </c>
      <c r="B2469" s="1076" t="s">
        <v>3322</v>
      </c>
      <c r="C2469" s="1089"/>
      <c r="D2469" s="1089"/>
      <c r="E2469" s="1089"/>
      <c r="F2469" s="1089"/>
      <c r="G2469" s="1089"/>
      <c r="H2469" s="1089"/>
    </row>
    <row r="2470" spans="1:8" ht="18" customHeight="1">
      <c r="A2470" s="869" t="s">
        <v>4416</v>
      </c>
      <c r="B2470" s="1074" t="s">
        <v>1594</v>
      </c>
      <c r="C2470" s="1092"/>
      <c r="D2470" s="1092"/>
      <c r="E2470" s="1092"/>
      <c r="F2470" s="1092"/>
      <c r="G2470" s="1092"/>
      <c r="H2470" s="1092"/>
    </row>
    <row r="2471" spans="1:8" ht="31.5">
      <c r="B2471" s="70" t="s">
        <v>3340</v>
      </c>
      <c r="C2471" s="70" t="s">
        <v>3341</v>
      </c>
      <c r="D2471" s="70" t="s">
        <v>3342</v>
      </c>
      <c r="E2471" s="70" t="s">
        <v>3343</v>
      </c>
      <c r="F2471" s="70" t="s">
        <v>3344</v>
      </c>
      <c r="G2471" s="70" t="s">
        <v>3345</v>
      </c>
      <c r="H2471" s="70" t="s">
        <v>1704</v>
      </c>
    </row>
    <row r="2472" spans="1:8" ht="18" customHeight="1">
      <c r="B2472" s="1067" t="s">
        <v>1705</v>
      </c>
      <c r="C2472" s="60" t="s">
        <v>610</v>
      </c>
      <c r="D2472" s="43">
        <v>1</v>
      </c>
      <c r="E2472" s="57" t="s">
        <v>1707</v>
      </c>
      <c r="F2472" s="111">
        <f>'update Rate'!F5</f>
        <v>525</v>
      </c>
      <c r="G2472" s="111">
        <f>FLOOR(D2472*F2472,0.01)</f>
        <v>525</v>
      </c>
      <c r="H2472" s="112"/>
    </row>
    <row r="2473" spans="1:8" ht="18" customHeight="1">
      <c r="B2473" s="1070"/>
      <c r="C2473" s="80" t="s">
        <v>1647</v>
      </c>
      <c r="D2473" s="45">
        <v>1</v>
      </c>
      <c r="E2473" s="58" t="s">
        <v>1707</v>
      </c>
      <c r="F2473" s="65">
        <f>'update Rate'!F4</f>
        <v>375</v>
      </c>
      <c r="G2473" s="65">
        <f>FLOOR(D2473*F2473,0.01)</f>
        <v>375</v>
      </c>
      <c r="H2473" s="125">
        <f>SUM(G2472+G2473)</f>
        <v>900</v>
      </c>
    </row>
    <row r="2474" spans="1:8">
      <c r="B2474" s="1069" t="s">
        <v>2330</v>
      </c>
      <c r="C2474" s="1069" t="s">
        <v>3323</v>
      </c>
      <c r="D2474" s="840"/>
      <c r="E2474" s="1069" t="s">
        <v>3096</v>
      </c>
      <c r="F2474" s="113"/>
      <c r="G2474" s="18"/>
      <c r="H2474" s="27"/>
    </row>
    <row r="2475" spans="1:8" ht="18" customHeight="1">
      <c r="B2475" s="1073"/>
      <c r="C2475" s="1073"/>
      <c r="D2475" s="841">
        <v>21.28</v>
      </c>
      <c r="E2475" s="1073"/>
      <c r="F2475" s="65">
        <f>'update Rate'!$F$210</f>
        <v>19</v>
      </c>
      <c r="G2475" s="65">
        <f>FLOOR(D2475*F2475,0.01)</f>
        <v>404.32</v>
      </c>
      <c r="H2475" s="127">
        <f>SUM(G2474:G2475)</f>
        <v>404.32</v>
      </c>
    </row>
    <row r="2476" spans="1:8" ht="18" customHeight="1">
      <c r="F2476" s="42" t="s">
        <v>1708</v>
      </c>
      <c r="G2476" s="106"/>
      <c r="H2476" s="65">
        <f>SUM(H2475,H2473)</f>
        <v>1304.32</v>
      </c>
    </row>
    <row r="2477" spans="1:8" ht="16.5">
      <c r="B2477" s="1" t="s">
        <v>1710</v>
      </c>
      <c r="F2477" s="42" t="s">
        <v>1689</v>
      </c>
      <c r="G2477" s="106"/>
      <c r="H2477" s="103">
        <f>FLOOR(H2476*0.15,0.01)</f>
        <v>195.64000000000001</v>
      </c>
    </row>
    <row r="2478" spans="1:8" ht="16.5">
      <c r="A2478"/>
      <c r="B2478" s="147">
        <f>+H2478</f>
        <v>1499.96</v>
      </c>
      <c r="C2478" s="28" t="s">
        <v>3384</v>
      </c>
      <c r="D2478" s="103">
        <f>INT(B2478/B2479*100)/100</f>
        <v>149.99</v>
      </c>
      <c r="E2478" s="1" t="s">
        <v>3385</v>
      </c>
      <c r="F2478" s="42" t="s">
        <v>1711</v>
      </c>
      <c r="G2478" s="106"/>
      <c r="H2478" s="103">
        <f>SUM(H2476:H2477)</f>
        <v>1499.96</v>
      </c>
    </row>
    <row r="2479" spans="1:8">
      <c r="B2479" s="121">
        <v>10</v>
      </c>
    </row>
    <row r="2480" spans="1:8">
      <c r="B2480" s="208"/>
      <c r="F2480" s="208"/>
      <c r="G2480" s="208"/>
      <c r="H2480" s="186"/>
    </row>
    <row r="2481" spans="1:8" ht="28.5" customHeight="1">
      <c r="A2481" s="145">
        <f>+A2469+1</f>
        <v>146</v>
      </c>
      <c r="B2481" s="1076" t="s">
        <v>2099</v>
      </c>
      <c r="C2481" s="1077"/>
      <c r="D2481" s="1077"/>
      <c r="E2481" s="1077"/>
      <c r="F2481" s="1077"/>
      <c r="G2481" s="1077"/>
      <c r="H2481" s="1077"/>
    </row>
    <row r="2482" spans="1:8" ht="18" customHeight="1">
      <c r="A2482" s="791" t="s">
        <v>3868</v>
      </c>
      <c r="B2482" s="1075" t="s">
        <v>2334</v>
      </c>
      <c r="C2482" s="1075"/>
      <c r="D2482" s="1075"/>
      <c r="E2482" s="1075"/>
      <c r="F2482" s="1075"/>
      <c r="G2482" s="1075"/>
      <c r="H2482" s="1075"/>
    </row>
    <row r="2483" spans="1:8" ht="31.5">
      <c r="B2483" s="70" t="s">
        <v>3340</v>
      </c>
      <c r="C2483" s="70" t="s">
        <v>3341</v>
      </c>
      <c r="D2483" s="70" t="s">
        <v>3342</v>
      </c>
      <c r="E2483" s="70" t="s">
        <v>3343</v>
      </c>
      <c r="F2483" s="70" t="s">
        <v>3344</v>
      </c>
      <c r="G2483" s="70" t="s">
        <v>3345</v>
      </c>
      <c r="H2483" s="70" t="s">
        <v>1704</v>
      </c>
    </row>
    <row r="2484" spans="1:8" ht="18" customHeight="1">
      <c r="A2484" s="28"/>
      <c r="B2484" s="1067" t="s">
        <v>614</v>
      </c>
      <c r="C2484" s="82" t="s">
        <v>790</v>
      </c>
      <c r="D2484" s="44">
        <v>13</v>
      </c>
      <c r="E2484" s="55" t="s">
        <v>1707</v>
      </c>
      <c r="F2484" s="120">
        <f>'update Rate'!$F$5</f>
        <v>525</v>
      </c>
      <c r="G2484" s="111">
        <f>FLOOR(D2484*F2484,0.01)</f>
        <v>6825</v>
      </c>
      <c r="H2484" s="112"/>
    </row>
    <row r="2485" spans="1:8" ht="18" customHeight="1">
      <c r="B2485" s="1068"/>
      <c r="C2485" s="80" t="s">
        <v>615</v>
      </c>
      <c r="D2485" s="45">
        <v>4.5</v>
      </c>
      <c r="E2485" s="58" t="s">
        <v>1707</v>
      </c>
      <c r="F2485" s="126">
        <f>'update Rate'!$F$4</f>
        <v>375</v>
      </c>
      <c r="G2485" s="65">
        <f>FLOOR(D2485*F2485,0.01)</f>
        <v>1687.5</v>
      </c>
      <c r="H2485" s="127">
        <f>SUM(G2484+G2485)</f>
        <v>8512.5</v>
      </c>
    </row>
    <row r="2486" spans="1:8" ht="18" customHeight="1">
      <c r="B2486" s="1067" t="s">
        <v>2330</v>
      </c>
      <c r="C2486" s="82" t="s">
        <v>1650</v>
      </c>
      <c r="D2486" s="54">
        <v>5.6000000000000001E-2</v>
      </c>
      <c r="E2486" s="55" t="s">
        <v>2336</v>
      </c>
      <c r="F2486" s="120">
        <f>'update Rate'!$F$15</f>
        <v>14200</v>
      </c>
      <c r="G2486" s="120">
        <f>FLOOR(D2486*F2486,0.01)</f>
        <v>795.2</v>
      </c>
      <c r="H2486" s="125"/>
    </row>
    <row r="2487" spans="1:8" ht="17.25">
      <c r="B2487" s="1096"/>
      <c r="C2487" s="82" t="s">
        <v>2335</v>
      </c>
      <c r="D2487" s="54">
        <v>0.152</v>
      </c>
      <c r="E2487" s="55" t="s">
        <v>2337</v>
      </c>
      <c r="F2487" s="120">
        <f>'update Rate'!$F$8</f>
        <v>1659.57</v>
      </c>
      <c r="G2487" s="120">
        <f>FLOOR(D2487*F2487,0.01)</f>
        <v>252.25</v>
      </c>
      <c r="H2487" s="125"/>
    </row>
    <row r="2488" spans="1:8" ht="18.75" customHeight="1">
      <c r="B2488" s="1068"/>
      <c r="C2488" s="80" t="s">
        <v>2619</v>
      </c>
      <c r="D2488" s="45">
        <v>11</v>
      </c>
      <c r="E2488" s="58" t="s">
        <v>2338</v>
      </c>
      <c r="F2488" s="126">
        <f>FLOOR('update Rate'!$F$12*63,0.01)</f>
        <v>378</v>
      </c>
      <c r="G2488" s="126">
        <f>FLOOR(D2488*F2488,0.01)</f>
        <v>4158</v>
      </c>
      <c r="H2488" s="127">
        <f>SUM(G2486+G2487+G2488)</f>
        <v>5205.45</v>
      </c>
    </row>
    <row r="2489" spans="1:8" ht="18" customHeight="1">
      <c r="F2489" s="1" t="s">
        <v>1708</v>
      </c>
      <c r="G2489" s="106"/>
      <c r="H2489" s="65">
        <f>SUM(H2485:H2488)</f>
        <v>13717.95</v>
      </c>
    </row>
    <row r="2490" spans="1:8" ht="18" customHeight="1">
      <c r="B2490" s="1" t="s">
        <v>1710</v>
      </c>
      <c r="F2490" s="1" t="s">
        <v>1688</v>
      </c>
      <c r="G2490" s="106"/>
      <c r="H2490" s="103">
        <f>FLOOR(H2489*0.15,0.01)</f>
        <v>2057.69</v>
      </c>
    </row>
    <row r="2491" spans="1:8" ht="16.5">
      <c r="A2491" s="28"/>
      <c r="B2491" s="147">
        <f>+H2491</f>
        <v>15775.640000000001</v>
      </c>
      <c r="C2491" s="28" t="s">
        <v>3384</v>
      </c>
      <c r="D2491" s="103">
        <f>FLOOR(B2491/B2492,0.01)</f>
        <v>1577.56</v>
      </c>
      <c r="E2491" s="1" t="s">
        <v>3385</v>
      </c>
      <c r="F2491" s="1" t="s">
        <v>1711</v>
      </c>
      <c r="G2491" s="106"/>
      <c r="H2491" s="103">
        <f>SUM(H2489:H2490)</f>
        <v>15775.640000000001</v>
      </c>
    </row>
    <row r="2492" spans="1:8" ht="16.5">
      <c r="B2492" s="149">
        <v>10</v>
      </c>
    </row>
    <row r="2493" spans="1:8" ht="18" customHeight="1">
      <c r="B2493" s="149"/>
    </row>
    <row r="2494" spans="1:8" ht="16.5">
      <c r="A2494" s="110" t="s">
        <v>1833</v>
      </c>
      <c r="B2494" s="149"/>
    </row>
    <row r="2495" spans="1:8" ht="16.5">
      <c r="A2495" s="110"/>
      <c r="B2495" s="149"/>
    </row>
    <row r="2496" spans="1:8" ht="18" customHeight="1">
      <c r="B2496" s="121"/>
    </row>
    <row r="2497" spans="1:8" ht="18" customHeight="1">
      <c r="A2497" s="145">
        <f>A2481+1</f>
        <v>147</v>
      </c>
      <c r="B2497" s="1076" t="s">
        <v>1562</v>
      </c>
      <c r="C2497" s="1077"/>
      <c r="D2497" s="1077"/>
      <c r="E2497" s="1077"/>
      <c r="F2497" s="1077"/>
      <c r="G2497" s="1077"/>
      <c r="H2497" s="1077"/>
    </row>
    <row r="2498" spans="1:8" ht="18" customHeight="1">
      <c r="A2498" s="791" t="s">
        <v>3868</v>
      </c>
      <c r="B2498" s="1075" t="s">
        <v>2334</v>
      </c>
      <c r="C2498" s="1075"/>
      <c r="D2498" s="1075"/>
      <c r="E2498" s="1075"/>
      <c r="F2498" s="1075"/>
      <c r="G2498" s="1075"/>
      <c r="H2498" s="1075"/>
    </row>
    <row r="2499" spans="1:8" ht="31.5">
      <c r="B2499" s="70" t="s">
        <v>3340</v>
      </c>
      <c r="C2499" s="70" t="s">
        <v>3341</v>
      </c>
      <c r="D2499" s="70" t="s">
        <v>3342</v>
      </c>
      <c r="E2499" s="70" t="s">
        <v>3343</v>
      </c>
      <c r="F2499" s="70" t="s">
        <v>3344</v>
      </c>
      <c r="G2499" s="70" t="s">
        <v>3345</v>
      </c>
      <c r="H2499" s="70" t="s">
        <v>1704</v>
      </c>
    </row>
    <row r="2500" spans="1:8" ht="18" customHeight="1">
      <c r="A2500" s="28"/>
      <c r="B2500" s="1067" t="s">
        <v>614</v>
      </c>
      <c r="C2500" s="82" t="s">
        <v>790</v>
      </c>
      <c r="D2500" s="44">
        <v>13</v>
      </c>
      <c r="E2500" s="55" t="s">
        <v>1707</v>
      </c>
      <c r="F2500" s="120">
        <f>'update Rate'!$F$5</f>
        <v>525</v>
      </c>
      <c r="G2500" s="111">
        <f>FLOOR(D2500*F2500,0.01)</f>
        <v>6825</v>
      </c>
      <c r="H2500" s="112"/>
    </row>
    <row r="2501" spans="1:8" ht="18" customHeight="1">
      <c r="B2501" s="1068"/>
      <c r="C2501" s="80" t="s">
        <v>615</v>
      </c>
      <c r="D2501" s="45">
        <v>4.5</v>
      </c>
      <c r="E2501" s="58" t="s">
        <v>1707</v>
      </c>
      <c r="F2501" s="126">
        <f>'update Rate'!$F$4</f>
        <v>375</v>
      </c>
      <c r="G2501" s="65">
        <f>FLOOR(D2501*F2501,0.01)</f>
        <v>1687.5</v>
      </c>
      <c r="H2501" s="127">
        <f>SUM(G2500+G2501)</f>
        <v>8512.5</v>
      </c>
    </row>
    <row r="2502" spans="1:8" ht="17.25">
      <c r="B2502" s="1067" t="s">
        <v>2330</v>
      </c>
      <c r="C2502" s="82" t="s">
        <v>1650</v>
      </c>
      <c r="D2502" s="44">
        <v>5.6000000000000001E-2</v>
      </c>
      <c r="E2502" s="55" t="s">
        <v>2336</v>
      </c>
      <c r="F2502" s="120">
        <f>'update Rate'!$F$15</f>
        <v>14200</v>
      </c>
      <c r="G2502" s="120">
        <f>FLOOR(D2502*F2502,0.01)</f>
        <v>795.2</v>
      </c>
      <c r="H2502" s="125"/>
    </row>
    <row r="2503" spans="1:8" ht="18" customHeight="1">
      <c r="B2503" s="1096"/>
      <c r="C2503" s="82" t="s">
        <v>2335</v>
      </c>
      <c r="D2503" s="54">
        <v>0.152</v>
      </c>
      <c r="E2503" s="55" t="s">
        <v>2337</v>
      </c>
      <c r="F2503" s="120">
        <f>'update Rate'!$F$8</f>
        <v>1659.57</v>
      </c>
      <c r="G2503" s="120">
        <f>FLOOR(D2503*F2503,0.01)</f>
        <v>252.25</v>
      </c>
      <c r="H2503" s="125"/>
    </row>
    <row r="2504" spans="1:8" ht="18" customHeight="1">
      <c r="B2504" s="1068"/>
      <c r="C2504" s="768" t="s">
        <v>3863</v>
      </c>
      <c r="D2504" s="45">
        <v>11</v>
      </c>
      <c r="E2504" s="58" t="s">
        <v>2338</v>
      </c>
      <c r="F2504" s="126">
        <f>FLOOR('update Rate'!$F$12*63,0.01)</f>
        <v>378</v>
      </c>
      <c r="G2504" s="126">
        <f>FLOOR(D2504*F2504,0.01)</f>
        <v>4158</v>
      </c>
      <c r="H2504" s="127">
        <f>SUM(G2502+G2503+G2504)</f>
        <v>5205.45</v>
      </c>
    </row>
    <row r="2505" spans="1:8" ht="18" customHeight="1">
      <c r="B2505" s="468"/>
      <c r="C2505" s="162" t="s">
        <v>802</v>
      </c>
      <c r="D2505" s="471" t="s">
        <v>1563</v>
      </c>
      <c r="E2505" s="229"/>
      <c r="F2505" s="469"/>
      <c r="G2505" s="470"/>
      <c r="H2505" s="127">
        <f>FLOOR(G2501*0.03,0.01)</f>
        <v>50.620000000000005</v>
      </c>
    </row>
    <row r="2506" spans="1:8" ht="18" customHeight="1">
      <c r="F2506" s="1" t="s">
        <v>1708</v>
      </c>
      <c r="G2506" s="106"/>
      <c r="H2506" s="65">
        <f>SUM(H2501:H2505)</f>
        <v>13768.570000000002</v>
      </c>
    </row>
    <row r="2507" spans="1:8" ht="16.5">
      <c r="B2507" s="1" t="s">
        <v>1710</v>
      </c>
      <c r="F2507" s="1" t="s">
        <v>1688</v>
      </c>
      <c r="G2507" s="106"/>
      <c r="H2507" s="103">
        <f>FLOOR(H2506*0.15,0.01)</f>
        <v>2065.2800000000002</v>
      </c>
    </row>
    <row r="2508" spans="1:8" ht="16.5">
      <c r="A2508" s="28"/>
      <c r="B2508" s="147">
        <f>+H2508</f>
        <v>15833.850000000002</v>
      </c>
      <c r="C2508" s="28" t="s">
        <v>3384</v>
      </c>
      <c r="D2508" s="103">
        <f>FLOOR(B2508/B2509,0.01)</f>
        <v>1583.38</v>
      </c>
      <c r="E2508" s="1" t="s">
        <v>3385</v>
      </c>
      <c r="F2508" s="1" t="s">
        <v>1711</v>
      </c>
      <c r="G2508" s="106"/>
      <c r="H2508" s="103">
        <f>SUM(H2506:H2507)</f>
        <v>15833.850000000002</v>
      </c>
    </row>
    <row r="2509" spans="1:8" ht="18" customHeight="1">
      <c r="B2509" s="149">
        <v>10</v>
      </c>
    </row>
    <row r="2510" spans="1:8" ht="18" customHeight="1">
      <c r="B2510" s="149"/>
    </row>
    <row r="2511" spans="1:8" ht="16.5">
      <c r="A2511" s="110" t="s">
        <v>1833</v>
      </c>
      <c r="B2511" s="149"/>
    </row>
    <row r="2512" spans="1:8">
      <c r="B2512" s="121"/>
    </row>
    <row r="2513" spans="1:8">
      <c r="B2513" s="121"/>
    </row>
    <row r="2514" spans="1:8" ht="18" customHeight="1">
      <c r="B2514" s="121"/>
    </row>
    <row r="2515" spans="1:8" ht="18" customHeight="1">
      <c r="A2515" s="145">
        <f>A2497+1</f>
        <v>148</v>
      </c>
      <c r="B2515" s="1170" t="s">
        <v>3865</v>
      </c>
      <c r="C2515" s="1088"/>
      <c r="D2515" s="1088"/>
      <c r="E2515" s="1088"/>
      <c r="F2515" s="1088"/>
      <c r="G2515" s="1088"/>
      <c r="H2515" s="1088"/>
    </row>
    <row r="2516" spans="1:8">
      <c r="A2516" s="791" t="s">
        <v>3868</v>
      </c>
      <c r="B2516" s="1075" t="s">
        <v>2334</v>
      </c>
      <c r="C2516" s="1075"/>
      <c r="D2516" s="1075"/>
      <c r="E2516" s="1075"/>
      <c r="F2516" s="1075"/>
      <c r="G2516" s="1075"/>
      <c r="H2516" s="1075"/>
    </row>
    <row r="2517" spans="1:8" ht="31.5">
      <c r="B2517" s="70" t="s">
        <v>3340</v>
      </c>
      <c r="C2517" s="70" t="s">
        <v>3341</v>
      </c>
      <c r="D2517" s="70" t="s">
        <v>3342</v>
      </c>
      <c r="E2517" s="70" t="s">
        <v>3343</v>
      </c>
      <c r="F2517" s="70" t="s">
        <v>3344</v>
      </c>
      <c r="G2517" s="70" t="s">
        <v>3345</v>
      </c>
      <c r="H2517" s="70" t="s">
        <v>1704</v>
      </c>
    </row>
    <row r="2518" spans="1:8" ht="18" customHeight="1">
      <c r="A2518" s="28"/>
      <c r="B2518" s="1067" t="s">
        <v>614</v>
      </c>
      <c r="C2518" s="82" t="s">
        <v>790</v>
      </c>
      <c r="D2518" s="44">
        <v>13</v>
      </c>
      <c r="E2518" s="55" t="s">
        <v>1707</v>
      </c>
      <c r="F2518" s="120">
        <f>'update Rate'!$F$5</f>
        <v>525</v>
      </c>
      <c r="G2518" s="111">
        <f>FLOOR(D2518*F2518,0.01)</f>
        <v>6825</v>
      </c>
      <c r="H2518" s="112"/>
    </row>
    <row r="2519" spans="1:8" ht="18" customHeight="1">
      <c r="B2519" s="1068"/>
      <c r="C2519" s="80" t="s">
        <v>615</v>
      </c>
      <c r="D2519" s="45">
        <v>4.5</v>
      </c>
      <c r="E2519" s="58" t="s">
        <v>1707</v>
      </c>
      <c r="F2519" s="126">
        <f>'update Rate'!$F$4</f>
        <v>375</v>
      </c>
      <c r="G2519" s="65">
        <f>FLOOR(D2519*F2519,0.01)</f>
        <v>1687.5</v>
      </c>
      <c r="H2519" s="127">
        <f>SUM(G2518+G2519)</f>
        <v>8512.5</v>
      </c>
    </row>
    <row r="2520" spans="1:8" ht="17.25">
      <c r="B2520" s="1067" t="s">
        <v>2330</v>
      </c>
      <c r="C2520" s="82" t="s">
        <v>1650</v>
      </c>
      <c r="D2520" s="44">
        <v>5.6000000000000001E-2</v>
      </c>
      <c r="E2520" s="55" t="s">
        <v>2336</v>
      </c>
      <c r="F2520" s="120">
        <f>'update Rate'!$F$15</f>
        <v>14200</v>
      </c>
      <c r="G2520" s="120">
        <f>FLOOR(D2520*F2520,0.01)</f>
        <v>795.2</v>
      </c>
      <c r="H2520" s="125"/>
    </row>
    <row r="2521" spans="1:8" ht="15.75" customHeight="1">
      <c r="B2521" s="1096"/>
      <c r="C2521" s="82" t="s">
        <v>2335</v>
      </c>
      <c r="D2521" s="54">
        <v>0.152</v>
      </c>
      <c r="E2521" s="55" t="s">
        <v>2337</v>
      </c>
      <c r="F2521" s="120">
        <f>'update Rate'!$F$8</f>
        <v>1659.57</v>
      </c>
      <c r="G2521" s="120">
        <f>FLOOR(D2521*F2521,0.01)</f>
        <v>252.25</v>
      </c>
      <c r="H2521" s="125"/>
    </row>
    <row r="2522" spans="1:8" ht="17.25">
      <c r="B2522" s="1068"/>
      <c r="C2522" s="472" t="s">
        <v>3864</v>
      </c>
      <c r="D2522" s="45">
        <v>11</v>
      </c>
      <c r="E2522" s="58" t="s">
        <v>2338</v>
      </c>
      <c r="F2522" s="126">
        <f>'update Rate'!F433</f>
        <v>430.4</v>
      </c>
      <c r="G2522" s="126">
        <f>FLOOR(D2522*F2522,0.01)</f>
        <v>4734.4000000000005</v>
      </c>
      <c r="H2522" s="127">
        <f>SUM(G2520+G2521+G2522)</f>
        <v>5781.85</v>
      </c>
    </row>
    <row r="2523" spans="1:8" ht="18" customHeight="1">
      <c r="F2523" s="1" t="s">
        <v>1708</v>
      </c>
      <c r="G2523" s="106"/>
      <c r="H2523" s="65">
        <f>SUM(H2519:H2522)</f>
        <v>14294.35</v>
      </c>
    </row>
    <row r="2524" spans="1:8" ht="16.5">
      <c r="B2524" s="1" t="s">
        <v>1710</v>
      </c>
      <c r="F2524" s="1" t="s">
        <v>1688</v>
      </c>
      <c r="G2524" s="106"/>
      <c r="H2524" s="103">
        <f>FLOOR(H2523*0.15,0.01)</f>
        <v>2144.15</v>
      </c>
    </row>
    <row r="2525" spans="1:8" ht="16.5">
      <c r="A2525" s="28"/>
      <c r="B2525" s="147">
        <f>+H2525</f>
        <v>16438.5</v>
      </c>
      <c r="C2525" s="28" t="s">
        <v>3384</v>
      </c>
      <c r="D2525" s="103">
        <f>FLOOR(B2525/B2526,0.01)</f>
        <v>1643.8500000000001</v>
      </c>
      <c r="E2525" s="1" t="s">
        <v>3385</v>
      </c>
      <c r="F2525" s="1" t="s">
        <v>1711</v>
      </c>
      <c r="G2525" s="106"/>
      <c r="H2525" s="103">
        <f>SUM(H2523:H2524)</f>
        <v>16438.5</v>
      </c>
    </row>
    <row r="2526" spans="1:8" ht="16.5">
      <c r="B2526" s="149">
        <v>10</v>
      </c>
    </row>
    <row r="2527" spans="1:8" ht="17.25" customHeight="1">
      <c r="B2527" s="121"/>
    </row>
    <row r="2528" spans="1:8" ht="18">
      <c r="A2528" s="145">
        <f>A2515+1</f>
        <v>149</v>
      </c>
      <c r="B2528" s="1170" t="s">
        <v>3866</v>
      </c>
      <c r="C2528" s="1088"/>
      <c r="D2528" s="1088"/>
      <c r="E2528" s="1088"/>
      <c r="F2528" s="1088"/>
      <c r="G2528" s="1088"/>
      <c r="H2528" s="1088"/>
    </row>
    <row r="2529" spans="1:8" ht="18" customHeight="1">
      <c r="A2529" s="791" t="s">
        <v>3868</v>
      </c>
      <c r="B2529" s="1075" t="s">
        <v>2334</v>
      </c>
      <c r="C2529" s="1075"/>
      <c r="D2529" s="1075"/>
      <c r="E2529" s="1075"/>
      <c r="F2529" s="1075"/>
      <c r="G2529" s="1075"/>
      <c r="H2529" s="1075"/>
    </row>
    <row r="2530" spans="1:8" ht="31.5">
      <c r="B2530" s="70" t="s">
        <v>3340</v>
      </c>
      <c r="C2530" s="70" t="s">
        <v>3341</v>
      </c>
      <c r="D2530" s="70" t="s">
        <v>3342</v>
      </c>
      <c r="E2530" s="70" t="s">
        <v>3343</v>
      </c>
      <c r="F2530" s="70" t="s">
        <v>3344</v>
      </c>
      <c r="G2530" s="70" t="s">
        <v>3345</v>
      </c>
      <c r="H2530" s="70" t="s">
        <v>1704</v>
      </c>
    </row>
    <row r="2531" spans="1:8" ht="17.25">
      <c r="A2531" s="28"/>
      <c r="B2531" s="1067" t="s">
        <v>614</v>
      </c>
      <c r="C2531" s="82" t="s">
        <v>790</v>
      </c>
      <c r="D2531" s="44">
        <v>13</v>
      </c>
      <c r="E2531" s="55" t="s">
        <v>1707</v>
      </c>
      <c r="F2531" s="120">
        <f>'update Rate'!$F$5</f>
        <v>525</v>
      </c>
      <c r="G2531" s="111">
        <f>FLOOR(D2531*F2531,0.01)</f>
        <v>6825</v>
      </c>
      <c r="H2531" s="112"/>
    </row>
    <row r="2532" spans="1:8" ht="18" customHeight="1">
      <c r="B2532" s="1068"/>
      <c r="C2532" s="80" t="s">
        <v>615</v>
      </c>
      <c r="D2532" s="45">
        <v>4.5</v>
      </c>
      <c r="E2532" s="58" t="s">
        <v>1707</v>
      </c>
      <c r="F2532" s="126">
        <f>'update Rate'!$F$4</f>
        <v>375</v>
      </c>
      <c r="G2532" s="65">
        <f>FLOOR(D2532*F2532,0.01)</f>
        <v>1687.5</v>
      </c>
      <c r="H2532" s="127">
        <f>SUM(G2531+G2532)</f>
        <v>8512.5</v>
      </c>
    </row>
    <row r="2533" spans="1:8" ht="18" customHeight="1">
      <c r="B2533" s="1067" t="s">
        <v>2330</v>
      </c>
      <c r="C2533" s="82" t="s">
        <v>1650</v>
      </c>
      <c r="D2533" s="44">
        <v>5.6000000000000001E-2</v>
      </c>
      <c r="E2533" s="55" t="s">
        <v>2336</v>
      </c>
      <c r="F2533" s="120">
        <f>'update Rate'!$F$15</f>
        <v>14200</v>
      </c>
      <c r="G2533" s="120">
        <f>FLOOR(D2533*F2533,0.01)</f>
        <v>795.2</v>
      </c>
      <c r="H2533" s="125"/>
    </row>
    <row r="2534" spans="1:8" ht="18" customHeight="1">
      <c r="B2534" s="1096"/>
      <c r="C2534" s="82" t="s">
        <v>2335</v>
      </c>
      <c r="D2534" s="54">
        <v>0.152</v>
      </c>
      <c r="E2534" s="55" t="s">
        <v>2337</v>
      </c>
      <c r="F2534" s="120">
        <f>'update Rate'!$F$8</f>
        <v>1659.57</v>
      </c>
      <c r="G2534" s="120">
        <f>FLOOR(D2534*F2534,0.01)</f>
        <v>252.25</v>
      </c>
      <c r="H2534" s="125"/>
    </row>
    <row r="2535" spans="1:8" ht="18" customHeight="1">
      <c r="B2535" s="1068"/>
      <c r="C2535" s="958" t="s">
        <v>3867</v>
      </c>
      <c r="D2535" s="45">
        <v>11</v>
      </c>
      <c r="E2535" s="58" t="s">
        <v>2338</v>
      </c>
      <c r="F2535" s="126">
        <f>'update Rate'!F429</f>
        <v>408.88</v>
      </c>
      <c r="G2535" s="126">
        <f>FLOOR(D2535*F2535,0.01)</f>
        <v>4497.68</v>
      </c>
      <c r="H2535" s="127">
        <f>SUM(G2533+G2534+G2535)</f>
        <v>5545.13</v>
      </c>
    </row>
    <row r="2536" spans="1:8" ht="16.5">
      <c r="F2536" s="1" t="s">
        <v>1708</v>
      </c>
      <c r="G2536" s="106"/>
      <c r="H2536" s="65">
        <f>SUM(H2532:H2535)</f>
        <v>14057.630000000001</v>
      </c>
    </row>
    <row r="2537" spans="1:8" ht="18" customHeight="1">
      <c r="B2537" s="1" t="s">
        <v>1710</v>
      </c>
      <c r="F2537" s="1" t="s">
        <v>1688</v>
      </c>
      <c r="G2537" s="106"/>
      <c r="H2537" s="103">
        <f>FLOOR(H2536*0.15,0.01)</f>
        <v>2108.64</v>
      </c>
    </row>
    <row r="2538" spans="1:8" ht="18" customHeight="1">
      <c r="A2538" s="28"/>
      <c r="B2538" s="147">
        <f>+H2538</f>
        <v>16166.27</v>
      </c>
      <c r="C2538" s="28" t="s">
        <v>3384</v>
      </c>
      <c r="D2538" s="103">
        <f>FLOOR(B2538/B2539,0.01)</f>
        <v>1616.6200000000001</v>
      </c>
      <c r="E2538" s="1" t="s">
        <v>3385</v>
      </c>
      <c r="F2538" s="1" t="s">
        <v>1711</v>
      </c>
      <c r="G2538" s="106"/>
      <c r="H2538" s="103">
        <f>SUM(H2536:H2537)</f>
        <v>16166.27</v>
      </c>
    </row>
    <row r="2539" spans="1:8" ht="16.5">
      <c r="B2539" s="149">
        <v>10</v>
      </c>
    </row>
    <row r="2540" spans="1:8" ht="16.5">
      <c r="B2540" s="149"/>
    </row>
    <row r="2541" spans="1:8" ht="16.5">
      <c r="B2541" s="149"/>
    </row>
    <row r="2542" spans="1:8" ht="18" customHeight="1">
      <c r="A2542" s="282">
        <f>A2528+1</f>
        <v>150</v>
      </c>
      <c r="B2542" s="1076" t="s">
        <v>1837</v>
      </c>
      <c r="C2542" s="1072"/>
      <c r="D2542" s="1072"/>
      <c r="E2542" s="1072"/>
      <c r="F2542" s="1072"/>
      <c r="G2542" s="1072"/>
      <c r="H2542" s="1072"/>
    </row>
    <row r="2543" spans="1:8" ht="18" customHeight="1">
      <c r="A2543" s="869" t="s">
        <v>4417</v>
      </c>
      <c r="B2543" s="1076" t="s">
        <v>1782</v>
      </c>
      <c r="C2543" s="1077"/>
      <c r="D2543" s="1077"/>
      <c r="E2543" s="1077"/>
      <c r="F2543" s="1077"/>
      <c r="G2543" s="1077"/>
      <c r="H2543" s="1077"/>
    </row>
    <row r="2544" spans="1:8" ht="18" customHeight="1">
      <c r="B2544" s="1083" t="s">
        <v>1594</v>
      </c>
      <c r="C2544" s="1083"/>
      <c r="D2544" s="1083"/>
      <c r="E2544" s="1083"/>
      <c r="F2544" s="1083"/>
      <c r="G2544" s="1083"/>
      <c r="H2544" s="1083"/>
    </row>
    <row r="2545" spans="1:8" ht="30" customHeight="1">
      <c r="B2545" s="70" t="s">
        <v>3340</v>
      </c>
      <c r="C2545" s="70" t="s">
        <v>3341</v>
      </c>
      <c r="D2545" s="70" t="s">
        <v>3342</v>
      </c>
      <c r="E2545" s="70" t="s">
        <v>3343</v>
      </c>
      <c r="F2545" s="70" t="s">
        <v>3344</v>
      </c>
      <c r="G2545" s="70" t="s">
        <v>3345</v>
      </c>
      <c r="H2545" s="70" t="s">
        <v>1704</v>
      </c>
    </row>
    <row r="2546" spans="1:8" ht="18" customHeight="1">
      <c r="B2546" s="1067" t="s">
        <v>1705</v>
      </c>
      <c r="C2546" s="765" t="s">
        <v>610</v>
      </c>
      <c r="D2546" s="43">
        <v>2</v>
      </c>
      <c r="E2546" s="57" t="s">
        <v>1707</v>
      </c>
      <c r="F2546" s="114">
        <f>'update Rate'!F5</f>
        <v>525</v>
      </c>
      <c r="G2546" s="111">
        <f t="shared" ref="G2546:G2554" si="70">FLOOR(D2546*F2546,0.01)</f>
        <v>1050</v>
      </c>
      <c r="H2546" s="112"/>
    </row>
    <row r="2547" spans="1:8" ht="18" customHeight="1">
      <c r="B2547" s="1093"/>
      <c r="C2547" s="55" t="s">
        <v>1647</v>
      </c>
      <c r="D2547" s="44">
        <v>8</v>
      </c>
      <c r="E2547" s="55" t="s">
        <v>1707</v>
      </c>
      <c r="F2547" s="113">
        <f>'update Rate'!F4</f>
        <v>375</v>
      </c>
      <c r="G2547" s="113">
        <f t="shared" si="70"/>
        <v>3000</v>
      </c>
      <c r="H2547" s="773"/>
    </row>
    <row r="2548" spans="1:8" ht="18" customHeight="1">
      <c r="B2548" s="1070"/>
      <c r="C2548" s="58" t="s">
        <v>3869</v>
      </c>
      <c r="D2548" s="45">
        <v>13.5</v>
      </c>
      <c r="E2548" s="58" t="s">
        <v>1707</v>
      </c>
      <c r="F2548" s="65">
        <f>'update Rate'!F4</f>
        <v>375</v>
      </c>
      <c r="G2548" s="65">
        <f t="shared" si="70"/>
        <v>5062.5</v>
      </c>
      <c r="H2548" s="772">
        <f>SUM(G2546:G2548)</f>
        <v>9112.5</v>
      </c>
    </row>
    <row r="2549" spans="1:8" ht="18" customHeight="1">
      <c r="B2549" s="1069" t="s">
        <v>2330</v>
      </c>
      <c r="C2549" s="55" t="s">
        <v>1507</v>
      </c>
      <c r="D2549" s="54">
        <v>0.13</v>
      </c>
      <c r="E2549" s="55" t="s">
        <v>804</v>
      </c>
      <c r="F2549" s="113">
        <f>'update Rate'!F15</f>
        <v>14200</v>
      </c>
      <c r="G2549" s="113">
        <f t="shared" si="70"/>
        <v>1846</v>
      </c>
      <c r="H2549" s="86"/>
    </row>
    <row r="2550" spans="1:8" ht="17.25">
      <c r="B2550" s="1094"/>
      <c r="C2550" s="55" t="s">
        <v>801</v>
      </c>
      <c r="D2550" s="54">
        <v>0.183</v>
      </c>
      <c r="E2550" s="55" t="s">
        <v>2530</v>
      </c>
      <c r="F2550" s="113">
        <f>'update Rate'!F8</f>
        <v>1659.57</v>
      </c>
      <c r="G2550" s="113">
        <f t="shared" si="70"/>
        <v>303.7</v>
      </c>
      <c r="H2550" s="88"/>
    </row>
    <row r="2551" spans="1:8" ht="17.25">
      <c r="B2551" s="1094"/>
      <c r="C2551" s="55" t="s">
        <v>1836</v>
      </c>
      <c r="D2551" s="44">
        <v>11</v>
      </c>
      <c r="E2551" s="55" t="s">
        <v>3170</v>
      </c>
      <c r="F2551" s="44">
        <f>'update Rate'!F221</f>
        <v>2743.8</v>
      </c>
      <c r="G2551" s="113">
        <f t="shared" si="70"/>
        <v>30181.8</v>
      </c>
      <c r="H2551" s="88"/>
    </row>
    <row r="2552" spans="1:8" ht="18" customHeight="1">
      <c r="B2552" s="1094"/>
      <c r="C2552" s="55" t="s">
        <v>1783</v>
      </c>
      <c r="D2552" s="44">
        <v>0.37</v>
      </c>
      <c r="E2552" s="55" t="s">
        <v>3096</v>
      </c>
      <c r="F2552" s="44">
        <f>'update Rate'!$F$137</f>
        <v>115</v>
      </c>
      <c r="G2552" s="113">
        <f t="shared" si="70"/>
        <v>42.550000000000004</v>
      </c>
      <c r="H2552" s="88"/>
    </row>
    <row r="2553" spans="1:8" ht="17.25">
      <c r="B2553" s="1094"/>
      <c r="C2553" s="55" t="s">
        <v>2275</v>
      </c>
      <c r="D2553" s="54">
        <v>0.11799999999999999</v>
      </c>
      <c r="E2553" s="55" t="s">
        <v>3096</v>
      </c>
      <c r="F2553" s="44">
        <f>'update Rate'!$F$138</f>
        <v>200</v>
      </c>
      <c r="G2553" s="113">
        <f t="shared" si="70"/>
        <v>23.6</v>
      </c>
      <c r="H2553" s="88"/>
    </row>
    <row r="2554" spans="1:8" ht="17.25">
      <c r="B2554" s="1094"/>
      <c r="C2554" s="55" t="s">
        <v>2276</v>
      </c>
      <c r="D2554" s="54">
        <v>0.53800000000000003</v>
      </c>
      <c r="E2554" s="55" t="s">
        <v>2844</v>
      </c>
      <c r="F2554" s="44">
        <f>'update Rate'!$F$139</f>
        <v>180</v>
      </c>
      <c r="G2554" s="113">
        <f t="shared" si="70"/>
        <v>96.84</v>
      </c>
      <c r="H2554" s="88"/>
    </row>
    <row r="2555" spans="1:8" ht="15.75">
      <c r="B2555" s="1073"/>
      <c r="C2555" s="58" t="s">
        <v>2843</v>
      </c>
      <c r="D2555" s="65" t="s">
        <v>3171</v>
      </c>
      <c r="E2555" s="58" t="s">
        <v>3173</v>
      </c>
      <c r="F2555" s="65"/>
      <c r="G2555" s="65">
        <v>120</v>
      </c>
      <c r="H2555" s="127">
        <f>SUM(G2549:G2555)</f>
        <v>32614.489999999998</v>
      </c>
    </row>
    <row r="2556" spans="1:8" ht="18" customHeight="1">
      <c r="F2556" s="42" t="s">
        <v>1708</v>
      </c>
      <c r="G2556" s="117"/>
      <c r="H2556" s="65">
        <f>SUM(H2548:H2555)</f>
        <v>41726.99</v>
      </c>
    </row>
    <row r="2557" spans="1:8" ht="18" customHeight="1">
      <c r="B2557" s="1" t="s">
        <v>1710</v>
      </c>
      <c r="F2557" s="42" t="s">
        <v>1689</v>
      </c>
      <c r="G2557" s="117"/>
      <c r="H2557" s="103">
        <f>FLOOR(H2556*0.15,0.01)</f>
        <v>6259.04</v>
      </c>
    </row>
    <row r="2558" spans="1:8" ht="15.75">
      <c r="A2558"/>
      <c r="B2558" s="147">
        <f>+H2558</f>
        <v>47986.03</v>
      </c>
      <c r="C2558" s="28" t="s">
        <v>3384</v>
      </c>
      <c r="D2558" s="103">
        <f>INT(B2558/B2559*100)/100</f>
        <v>4798.6000000000004</v>
      </c>
      <c r="E2558" s="1" t="s">
        <v>3385</v>
      </c>
      <c r="F2558" s="42" t="s">
        <v>1711</v>
      </c>
      <c r="G2558" s="117"/>
      <c r="H2558" s="103">
        <f>SUM(H2556:H2557)</f>
        <v>47986.03</v>
      </c>
    </row>
    <row r="2559" spans="1:8">
      <c r="B2559" s="121">
        <v>10</v>
      </c>
    </row>
    <row r="2560" spans="1:8" ht="15.75">
      <c r="A2560" s="110" t="s">
        <v>3402</v>
      </c>
      <c r="B2560" s="121"/>
    </row>
    <row r="2561" spans="1:8">
      <c r="A2561" s="110"/>
      <c r="B2561" s="121"/>
    </row>
    <row r="2562" spans="1:8" ht="18" customHeight="1">
      <c r="B2562" s="149"/>
    </row>
    <row r="2563" spans="1:8" ht="18" customHeight="1">
      <c r="A2563" s="145">
        <f>A2542+1</f>
        <v>151</v>
      </c>
      <c r="B2563" s="1101" t="s">
        <v>3871</v>
      </c>
      <c r="C2563" s="1088"/>
      <c r="D2563" s="1088"/>
      <c r="E2563" s="1088"/>
      <c r="F2563" s="1088"/>
      <c r="G2563" s="1088"/>
      <c r="H2563" s="1088"/>
    </row>
    <row r="2564" spans="1:8" ht="18" customHeight="1">
      <c r="A2564" s="791" t="s">
        <v>4418</v>
      </c>
      <c r="B2564" s="1075" t="s">
        <v>2334</v>
      </c>
      <c r="C2564" s="1075"/>
      <c r="D2564" s="1075"/>
      <c r="E2564" s="1075"/>
      <c r="F2564" s="1075"/>
      <c r="G2564" s="1075"/>
      <c r="H2564" s="1075"/>
    </row>
    <row r="2565" spans="1:8" ht="31.5">
      <c r="B2565" s="70" t="s">
        <v>3340</v>
      </c>
      <c r="C2565" s="70" t="s">
        <v>3341</v>
      </c>
      <c r="D2565" s="70" t="s">
        <v>3342</v>
      </c>
      <c r="E2565" s="70" t="s">
        <v>3343</v>
      </c>
      <c r="F2565" s="70" t="s">
        <v>3344</v>
      </c>
      <c r="G2565" s="70" t="s">
        <v>3345</v>
      </c>
      <c r="H2565" s="70" t="s">
        <v>1704</v>
      </c>
    </row>
    <row r="2566" spans="1:8" ht="17.25">
      <c r="A2566" s="28"/>
      <c r="B2566" s="1067" t="s">
        <v>614</v>
      </c>
      <c r="C2566" s="769" t="s">
        <v>790</v>
      </c>
      <c r="D2566" s="44">
        <v>1.5</v>
      </c>
      <c r="E2566" s="55" t="s">
        <v>1707</v>
      </c>
      <c r="F2566" s="120">
        <f>'update Rate'!$F$5</f>
        <v>525</v>
      </c>
      <c r="G2566" s="111">
        <f>FLOOR(D2566*F2566,0.01)</f>
        <v>787.5</v>
      </c>
      <c r="H2566" s="771"/>
    </row>
    <row r="2567" spans="1:8" ht="18" customHeight="1">
      <c r="B2567" s="1068"/>
      <c r="C2567" s="767" t="s">
        <v>615</v>
      </c>
      <c r="D2567" s="45">
        <v>1.5</v>
      </c>
      <c r="E2567" s="58" t="s">
        <v>1707</v>
      </c>
      <c r="F2567" s="126">
        <f>'update Rate'!$F$4</f>
        <v>375</v>
      </c>
      <c r="G2567" s="65">
        <f>FLOOR(D2567*F2567,0.01)</f>
        <v>562.5</v>
      </c>
      <c r="H2567" s="772">
        <f>SUM(G2566+G2567)</f>
        <v>1350</v>
      </c>
    </row>
    <row r="2568" spans="1:8" ht="17.25">
      <c r="B2568" s="1067" t="s">
        <v>2330</v>
      </c>
      <c r="C2568" s="765" t="s">
        <v>3870</v>
      </c>
      <c r="D2568" s="48">
        <v>11</v>
      </c>
      <c r="E2568" s="57" t="s">
        <v>3170</v>
      </c>
      <c r="F2568" s="578">
        <f>'update Rate'!F513</f>
        <v>860.8</v>
      </c>
      <c r="G2568" s="111">
        <f>FLOOR(D2568*F2568,0.01)</f>
        <v>9468.8000000000011</v>
      </c>
      <c r="H2568" s="771"/>
    </row>
    <row r="2569" spans="1:8" ht="17.25">
      <c r="B2569" s="1093"/>
      <c r="C2569" s="769" t="s">
        <v>1650</v>
      </c>
      <c r="D2569" s="54">
        <v>8.1000000000000003E-2</v>
      </c>
      <c r="E2569" s="55" t="s">
        <v>804</v>
      </c>
      <c r="F2569" s="120">
        <f>'update Rate'!F15</f>
        <v>14200</v>
      </c>
      <c r="G2569" s="120">
        <f>FLOOR(D2569*F2569,0.01)</f>
        <v>1150.2</v>
      </c>
      <c r="H2569" s="773"/>
    </row>
    <row r="2570" spans="1:8" ht="18" customHeight="1">
      <c r="B2570" s="1068"/>
      <c r="C2570" s="767" t="s">
        <v>2335</v>
      </c>
      <c r="D2570" s="51">
        <v>0.22</v>
      </c>
      <c r="E2570" s="58" t="s">
        <v>2337</v>
      </c>
      <c r="F2570" s="126">
        <f>'update Rate'!$F$8</f>
        <v>1659.57</v>
      </c>
      <c r="G2570" s="126">
        <f>FLOOR(D2570*F2570,0.01)</f>
        <v>365.1</v>
      </c>
      <c r="H2570" s="772">
        <f>SUM(G2568:G2570)</f>
        <v>10984.100000000002</v>
      </c>
    </row>
    <row r="2571" spans="1:8" ht="20.25" customHeight="1">
      <c r="F2571" s="1" t="s">
        <v>1708</v>
      </c>
      <c r="G2571" s="106"/>
      <c r="H2571" s="65">
        <f>SUM(H2567:H2570)</f>
        <v>12334.100000000002</v>
      </c>
    </row>
    <row r="2572" spans="1:8" ht="16.5">
      <c r="B2572" s="1" t="s">
        <v>1710</v>
      </c>
      <c r="F2572" s="1" t="s">
        <v>1688</v>
      </c>
      <c r="G2572" s="106"/>
      <c r="H2572" s="103">
        <f>FLOOR(H2571*0.15,0.01)</f>
        <v>1850.1100000000001</v>
      </c>
    </row>
    <row r="2573" spans="1:8" ht="18" customHeight="1">
      <c r="A2573" s="28"/>
      <c r="B2573" s="147">
        <f>+H2573</f>
        <v>14184.210000000003</v>
      </c>
      <c r="C2573" s="28" t="s">
        <v>3384</v>
      </c>
      <c r="D2573" s="103">
        <f>FLOOR(B2573/B2574,0.01)</f>
        <v>1418.42</v>
      </c>
      <c r="E2573" s="1" t="s">
        <v>3385</v>
      </c>
      <c r="F2573" s="1" t="s">
        <v>1711</v>
      </c>
      <c r="G2573" s="106"/>
      <c r="H2573" s="103">
        <f>SUM(H2571:H2572)</f>
        <v>14184.210000000003</v>
      </c>
    </row>
    <row r="2574" spans="1:8" ht="16.5">
      <c r="B2574" s="149">
        <v>10</v>
      </c>
    </row>
    <row r="2575" spans="1:8" ht="18" customHeight="1">
      <c r="B2575" s="149"/>
    </row>
    <row r="2576" spans="1:8" ht="18" customHeight="1">
      <c r="B2576" s="149"/>
    </row>
    <row r="2577" spans="1:8" ht="18">
      <c r="A2577" s="145">
        <f>A2563+1</f>
        <v>152</v>
      </c>
      <c r="B2577" s="1101" t="s">
        <v>3872</v>
      </c>
      <c r="C2577" s="1088"/>
      <c r="D2577" s="1088"/>
      <c r="E2577" s="1088"/>
      <c r="F2577" s="1088"/>
      <c r="G2577" s="1088"/>
      <c r="H2577" s="1088"/>
    </row>
    <row r="2578" spans="1:8">
      <c r="A2578" s="791" t="s">
        <v>4420</v>
      </c>
      <c r="B2578" s="1075" t="s">
        <v>2334</v>
      </c>
      <c r="C2578" s="1075"/>
      <c r="D2578" s="1075"/>
      <c r="E2578" s="1075"/>
      <c r="F2578" s="1075"/>
      <c r="G2578" s="1075"/>
      <c r="H2578" s="1075"/>
    </row>
    <row r="2579" spans="1:8" ht="31.5">
      <c r="B2579" s="70" t="s">
        <v>3340</v>
      </c>
      <c r="C2579" s="70" t="s">
        <v>3341</v>
      </c>
      <c r="D2579" s="70" t="s">
        <v>3342</v>
      </c>
      <c r="E2579" s="70" t="s">
        <v>3343</v>
      </c>
      <c r="F2579" s="70" t="s">
        <v>3344</v>
      </c>
      <c r="G2579" s="70" t="s">
        <v>3345</v>
      </c>
      <c r="H2579" s="70" t="s">
        <v>1704</v>
      </c>
    </row>
    <row r="2580" spans="1:8" ht="17.25">
      <c r="A2580" s="28"/>
      <c r="B2580" s="1067" t="s">
        <v>614</v>
      </c>
      <c r="C2580" s="769" t="s">
        <v>790</v>
      </c>
      <c r="D2580" s="44">
        <v>0.65</v>
      </c>
      <c r="E2580" s="55" t="s">
        <v>1707</v>
      </c>
      <c r="F2580" s="120">
        <f>'update Rate'!$F$5</f>
        <v>525</v>
      </c>
      <c r="G2580" s="111">
        <f>FLOOR(D2580*F2580,0.01)</f>
        <v>341.25</v>
      </c>
      <c r="H2580" s="771"/>
    </row>
    <row r="2581" spans="1:8" ht="18" customHeight="1">
      <c r="B2581" s="1068"/>
      <c r="C2581" s="767" t="s">
        <v>615</v>
      </c>
      <c r="D2581" s="45">
        <v>0.65</v>
      </c>
      <c r="E2581" s="58" t="s">
        <v>1707</v>
      </c>
      <c r="F2581" s="126">
        <f>'update Rate'!$F$4</f>
        <v>375</v>
      </c>
      <c r="G2581" s="65">
        <f>FLOOR(D2581*F2581,0.01)</f>
        <v>243.75</v>
      </c>
      <c r="H2581" s="772">
        <f>SUM(G2580+G2581)</f>
        <v>585</v>
      </c>
    </row>
    <row r="2582" spans="1:8" ht="18" customHeight="1">
      <c r="B2582" s="1067" t="s">
        <v>2330</v>
      </c>
      <c r="C2582" s="961" t="s">
        <v>4419</v>
      </c>
      <c r="D2582" s="48">
        <v>12</v>
      </c>
      <c r="E2582" s="57" t="s">
        <v>1643</v>
      </c>
      <c r="F2582" s="578">
        <f>'update Rate'!F515</f>
        <v>645</v>
      </c>
      <c r="G2582" s="111">
        <f>FLOOR(D2582*F2582,0.01)</f>
        <v>7740</v>
      </c>
      <c r="H2582" s="771"/>
    </row>
    <row r="2583" spans="1:8" ht="17.25">
      <c r="B2583" s="1093"/>
      <c r="C2583" s="769" t="s">
        <v>1650</v>
      </c>
      <c r="D2583" s="54">
        <v>1.7999999999999999E-2</v>
      </c>
      <c r="E2583" s="55" t="s">
        <v>804</v>
      </c>
      <c r="F2583" s="584">
        <f>'update Rate'!F15</f>
        <v>14200</v>
      </c>
      <c r="G2583" s="120">
        <f>FLOOR(D2583*F2583,0.01)</f>
        <v>255.6</v>
      </c>
      <c r="H2583" s="773"/>
    </row>
    <row r="2584" spans="1:8" ht="17.25">
      <c r="B2584" s="1093"/>
      <c r="C2584" s="769" t="s">
        <v>3873</v>
      </c>
      <c r="D2584" s="54">
        <v>6.6000000000000003E-2</v>
      </c>
      <c r="E2584" s="55" t="s">
        <v>3045</v>
      </c>
      <c r="F2584" s="584" t="s">
        <v>3960</v>
      </c>
      <c r="G2584" s="120">
        <v>250</v>
      </c>
      <c r="H2584" s="773"/>
    </row>
    <row r="2585" spans="1:8" ht="18" customHeight="1">
      <c r="B2585" s="1068"/>
      <c r="C2585" s="767" t="s">
        <v>2335</v>
      </c>
      <c r="D2585" s="51">
        <v>5.1999999999999998E-2</v>
      </c>
      <c r="E2585" s="58" t="s">
        <v>2337</v>
      </c>
      <c r="F2585" s="126">
        <f>'update Rate'!$F$8</f>
        <v>1659.57</v>
      </c>
      <c r="G2585" s="126">
        <f>FLOOR(D2585*F2585,0.01)</f>
        <v>86.29</v>
      </c>
      <c r="H2585" s="772">
        <f>SUM(G2582:G2585)</f>
        <v>8331.8900000000012</v>
      </c>
    </row>
    <row r="2586" spans="1:8" ht="27.75" customHeight="1">
      <c r="F2586" s="1" t="s">
        <v>1708</v>
      </c>
      <c r="G2586" s="106"/>
      <c r="H2586" s="65">
        <f>SUM(H2581:H2585)</f>
        <v>8916.8900000000012</v>
      </c>
    </row>
    <row r="2587" spans="1:8" ht="18" customHeight="1">
      <c r="B2587" s="1" t="s">
        <v>1710</v>
      </c>
      <c r="F2587" s="1" t="s">
        <v>1688</v>
      </c>
      <c r="G2587" s="106"/>
      <c r="H2587" s="103">
        <f>FLOOR(H2586*0.15,0.01)</f>
        <v>1337.53</v>
      </c>
    </row>
    <row r="2588" spans="1:8" ht="18" customHeight="1">
      <c r="A2588" s="28"/>
      <c r="B2588" s="147">
        <f>+H2588</f>
        <v>10254.420000000002</v>
      </c>
      <c r="C2588" s="28" t="s">
        <v>3384</v>
      </c>
      <c r="D2588" s="103">
        <f>FLOOR(B2588/B2589,0.01)</f>
        <v>1025.44</v>
      </c>
      <c r="E2588" s="1" t="s">
        <v>3385</v>
      </c>
      <c r="F2588" s="1" t="s">
        <v>1711</v>
      </c>
      <c r="G2588" s="106"/>
      <c r="H2588" s="103">
        <f>SUM(H2586:H2587)</f>
        <v>10254.420000000002</v>
      </c>
    </row>
    <row r="2589" spans="1:8" ht="18" customHeight="1">
      <c r="B2589" s="149">
        <v>10</v>
      </c>
    </row>
    <row r="2590" spans="1:8" ht="18" customHeight="1">
      <c r="B2590" s="149"/>
    </row>
    <row r="2591" spans="1:8" ht="18" customHeight="1">
      <c r="A2591" s="145">
        <f>A2577+1</f>
        <v>153</v>
      </c>
      <c r="B2591" s="1170" t="s">
        <v>3874</v>
      </c>
      <c r="C2591" s="1088"/>
      <c r="D2591" s="1088"/>
      <c r="E2591" s="1088"/>
      <c r="F2591" s="1088"/>
      <c r="G2591" s="1088"/>
      <c r="H2591" s="1088"/>
    </row>
    <row r="2592" spans="1:8" ht="18" customHeight="1">
      <c r="A2592" s="791" t="s">
        <v>4421</v>
      </c>
      <c r="B2592" s="1075" t="s">
        <v>2334</v>
      </c>
      <c r="C2592" s="1075"/>
      <c r="D2592" s="1075"/>
      <c r="E2592" s="1075"/>
      <c r="F2592" s="1075"/>
      <c r="G2592" s="1075"/>
      <c r="H2592" s="1075"/>
    </row>
    <row r="2593" spans="1:8" ht="31.5">
      <c r="B2593" s="70" t="s">
        <v>3340</v>
      </c>
      <c r="C2593" s="70" t="s">
        <v>3341</v>
      </c>
      <c r="D2593" s="70" t="s">
        <v>3342</v>
      </c>
      <c r="E2593" s="70" t="s">
        <v>3343</v>
      </c>
      <c r="F2593" s="70" t="s">
        <v>3344</v>
      </c>
      <c r="G2593" s="70" t="s">
        <v>3345</v>
      </c>
      <c r="H2593" s="70" t="s">
        <v>1704</v>
      </c>
    </row>
    <row r="2594" spans="1:8" ht="23.25" customHeight="1">
      <c r="A2594" s="28"/>
      <c r="B2594" s="765" t="s">
        <v>614</v>
      </c>
      <c r="C2594" s="769" t="s">
        <v>790</v>
      </c>
      <c r="D2594" s="44">
        <v>1.5</v>
      </c>
      <c r="E2594" s="55" t="s">
        <v>1707</v>
      </c>
      <c r="F2594" s="120">
        <f>'update Rate'!$F$5</f>
        <v>525</v>
      </c>
      <c r="G2594" s="111">
        <f>FLOOR(D2594*F2594,0.01)</f>
        <v>787.5</v>
      </c>
      <c r="H2594" s="771">
        <f>+G2594</f>
        <v>787.5</v>
      </c>
    </row>
    <row r="2595" spans="1:8" ht="20.25" customHeight="1">
      <c r="B2595" s="70" t="s">
        <v>2330</v>
      </c>
      <c r="C2595" s="70" t="s">
        <v>3875</v>
      </c>
      <c r="D2595" s="792">
        <v>11</v>
      </c>
      <c r="E2595" s="66" t="s">
        <v>3170</v>
      </c>
      <c r="F2595" s="851">
        <f>'update Rate'!F512</f>
        <v>1614</v>
      </c>
      <c r="G2595" s="105">
        <f>FLOOR(D2595*F2595,0.01)</f>
        <v>17754</v>
      </c>
      <c r="H2595" s="771">
        <f>+G2595</f>
        <v>17754</v>
      </c>
    </row>
    <row r="2596" spans="1:8" ht="18" customHeight="1">
      <c r="F2596" s="1" t="s">
        <v>1708</v>
      </c>
      <c r="G2596" s="106"/>
      <c r="H2596" s="103">
        <f>SUM(H2594:H2595)</f>
        <v>18541.5</v>
      </c>
    </row>
    <row r="2597" spans="1:8" ht="16.5">
      <c r="B2597" s="1" t="s">
        <v>1710</v>
      </c>
      <c r="F2597" s="1" t="s">
        <v>1688</v>
      </c>
      <c r="G2597" s="106"/>
      <c r="H2597" s="103">
        <f>FLOOR(H2596*0.15,0.01)</f>
        <v>2781.2200000000003</v>
      </c>
    </row>
    <row r="2598" spans="1:8" ht="18" customHeight="1">
      <c r="A2598" s="28"/>
      <c r="B2598" s="147">
        <f>+H2598</f>
        <v>21322.720000000001</v>
      </c>
      <c r="C2598" s="28" t="s">
        <v>3384</v>
      </c>
      <c r="D2598" s="103">
        <f>FLOOR(B2598/B2599,0.01)</f>
        <v>2132.27</v>
      </c>
      <c r="E2598" s="1" t="s">
        <v>3385</v>
      </c>
      <c r="F2598" s="1" t="s">
        <v>1711</v>
      </c>
      <c r="G2598" s="106"/>
      <c r="H2598" s="103">
        <f>SUM(H2596:H2597)</f>
        <v>21322.720000000001</v>
      </c>
    </row>
    <row r="2599" spans="1:8" ht="18" customHeight="1">
      <c r="B2599" s="149">
        <v>10</v>
      </c>
    </row>
    <row r="2600" spans="1:8" ht="18.75" customHeight="1">
      <c r="B2600" s="149"/>
    </row>
    <row r="2601" spans="1:8" ht="18" customHeight="1"/>
    <row r="2602" spans="1:8" ht="18" customHeight="1">
      <c r="A2602" s="282">
        <f>A2591+1</f>
        <v>154</v>
      </c>
      <c r="B2602" s="1071" t="s">
        <v>3876</v>
      </c>
      <c r="C2602" s="1072"/>
      <c r="D2602" s="1072"/>
      <c r="E2602" s="1072"/>
      <c r="F2602" s="1072"/>
      <c r="G2602" s="1072"/>
      <c r="H2602" s="1072"/>
    </row>
    <row r="2603" spans="1:8" ht="19.5">
      <c r="A2603" s="791" t="s">
        <v>4422</v>
      </c>
      <c r="B2603" s="1076" t="s">
        <v>1782</v>
      </c>
      <c r="C2603" s="1077"/>
      <c r="D2603" s="1077"/>
      <c r="E2603" s="1077"/>
      <c r="F2603" s="1077"/>
      <c r="G2603" s="1077"/>
      <c r="H2603" s="1077"/>
    </row>
    <row r="2604" spans="1:8">
      <c r="B2604" s="1083" t="s">
        <v>1594</v>
      </c>
      <c r="C2604" s="1083"/>
      <c r="D2604" s="1083"/>
      <c r="E2604" s="1083"/>
      <c r="F2604" s="1083"/>
      <c r="G2604" s="1083"/>
      <c r="H2604" s="1083"/>
    </row>
    <row r="2605" spans="1:8" ht="31.5">
      <c r="B2605" s="70" t="s">
        <v>3340</v>
      </c>
      <c r="C2605" s="70" t="s">
        <v>3341</v>
      </c>
      <c r="D2605" s="70" t="s">
        <v>3342</v>
      </c>
      <c r="E2605" s="70" t="s">
        <v>3343</v>
      </c>
      <c r="F2605" s="70" t="s">
        <v>3344</v>
      </c>
      <c r="G2605" s="70" t="s">
        <v>3345</v>
      </c>
      <c r="H2605" s="70" t="s">
        <v>1704</v>
      </c>
    </row>
    <row r="2606" spans="1:8" ht="18" customHeight="1">
      <c r="B2606" s="1067" t="s">
        <v>1705</v>
      </c>
      <c r="C2606" s="60" t="s">
        <v>610</v>
      </c>
      <c r="D2606" s="43">
        <v>2</v>
      </c>
      <c r="E2606" s="57" t="s">
        <v>1707</v>
      </c>
      <c r="F2606" s="111">
        <f>'update Rate'!F5</f>
        <v>525</v>
      </c>
      <c r="G2606" s="111">
        <f t="shared" ref="G2606:G2613" si="71">FLOOR(D2606*F2606,0.01)</f>
        <v>1050</v>
      </c>
      <c r="H2606" s="112"/>
    </row>
    <row r="2607" spans="1:8" ht="18" customHeight="1">
      <c r="B2607" s="1070"/>
      <c r="C2607" s="58" t="s">
        <v>1647</v>
      </c>
      <c r="D2607" s="45">
        <v>8</v>
      </c>
      <c r="E2607" s="58" t="s">
        <v>1707</v>
      </c>
      <c r="F2607" s="65">
        <f>'update Rate'!F4</f>
        <v>375</v>
      </c>
      <c r="G2607" s="65">
        <f t="shared" si="71"/>
        <v>3000</v>
      </c>
      <c r="H2607" s="125">
        <f>SUM(G2606+G2607)</f>
        <v>4050</v>
      </c>
    </row>
    <row r="2608" spans="1:8" ht="18" customHeight="1">
      <c r="B2608" s="1069" t="s">
        <v>2330</v>
      </c>
      <c r="C2608" s="55" t="s">
        <v>1507</v>
      </c>
      <c r="D2608" s="54">
        <v>0.13</v>
      </c>
      <c r="E2608" s="55" t="s">
        <v>804</v>
      </c>
      <c r="F2608" s="113">
        <f>'update Rate'!F15</f>
        <v>14200</v>
      </c>
      <c r="G2608" s="113">
        <f t="shared" si="71"/>
        <v>1846</v>
      </c>
      <c r="H2608" s="86"/>
    </row>
    <row r="2609" spans="1:8" ht="18" customHeight="1">
      <c r="B2609" s="1094"/>
      <c r="C2609" s="55" t="s">
        <v>801</v>
      </c>
      <c r="D2609" s="54">
        <v>0.183</v>
      </c>
      <c r="E2609" s="55" t="s">
        <v>2530</v>
      </c>
      <c r="F2609" s="113">
        <f>'update Rate'!F8</f>
        <v>1659.57</v>
      </c>
      <c r="G2609" s="113">
        <f t="shared" si="71"/>
        <v>303.7</v>
      </c>
      <c r="H2609" s="88"/>
    </row>
    <row r="2610" spans="1:8" ht="17.25">
      <c r="B2610" s="1094"/>
      <c r="C2610" s="56" t="s">
        <v>558</v>
      </c>
      <c r="D2610" s="44">
        <v>11</v>
      </c>
      <c r="E2610" s="55" t="s">
        <v>3170</v>
      </c>
      <c r="F2610" s="44">
        <f>'update Rate'!F41</f>
        <v>1345</v>
      </c>
      <c r="G2610" s="113">
        <f t="shared" si="71"/>
        <v>14795</v>
      </c>
      <c r="H2610" s="88"/>
    </row>
    <row r="2611" spans="1:8" ht="18" customHeight="1">
      <c r="B2611" s="1094"/>
      <c r="C2611" s="55" t="s">
        <v>1783</v>
      </c>
      <c r="D2611" s="44">
        <v>0.37</v>
      </c>
      <c r="E2611" s="55" t="s">
        <v>3096</v>
      </c>
      <c r="F2611" s="44">
        <f>'update Rate'!$F$137</f>
        <v>115</v>
      </c>
      <c r="G2611" s="113">
        <f t="shared" si="71"/>
        <v>42.550000000000004</v>
      </c>
      <c r="H2611" s="88"/>
    </row>
    <row r="2612" spans="1:8" ht="18" customHeight="1">
      <c r="B2612" s="1094"/>
      <c r="C2612" s="55" t="s">
        <v>2275</v>
      </c>
      <c r="D2612" s="54">
        <v>0.11799999999999999</v>
      </c>
      <c r="E2612" s="55" t="s">
        <v>3096</v>
      </c>
      <c r="F2612" s="44">
        <f>'update Rate'!$F$138</f>
        <v>200</v>
      </c>
      <c r="G2612" s="113">
        <f t="shared" si="71"/>
        <v>23.6</v>
      </c>
      <c r="H2612" s="88"/>
    </row>
    <row r="2613" spans="1:8" ht="18" customHeight="1" outlineLevel="1">
      <c r="B2613" s="1094"/>
      <c r="C2613" s="55" t="s">
        <v>2276</v>
      </c>
      <c r="D2613" s="54">
        <v>0.53800000000000003</v>
      </c>
      <c r="E2613" s="55" t="s">
        <v>2844</v>
      </c>
      <c r="F2613" s="44">
        <f>'update Rate'!$F$139</f>
        <v>180</v>
      </c>
      <c r="G2613" s="113">
        <f t="shared" si="71"/>
        <v>96.84</v>
      </c>
      <c r="H2613" s="88"/>
    </row>
    <row r="2614" spans="1:8" ht="18" customHeight="1" outlineLevel="1">
      <c r="B2614" s="1073"/>
      <c r="C2614" s="58" t="s">
        <v>2843</v>
      </c>
      <c r="D2614" s="65" t="s">
        <v>3171</v>
      </c>
      <c r="E2614" s="58" t="s">
        <v>3173</v>
      </c>
      <c r="F2614" s="65"/>
      <c r="G2614" s="65">
        <v>120</v>
      </c>
      <c r="H2614" s="127">
        <f>SUM(G2608:G2614)</f>
        <v>17227.689999999999</v>
      </c>
    </row>
    <row r="2615" spans="1:8" ht="17.25" outlineLevel="1">
      <c r="B2615" s="68" t="s">
        <v>2119</v>
      </c>
      <c r="C2615" s="66" t="s">
        <v>1780</v>
      </c>
      <c r="D2615" s="46">
        <v>13.5</v>
      </c>
      <c r="E2615" s="66" t="s">
        <v>1707</v>
      </c>
      <c r="F2615" s="65">
        <f>'update Rate'!E4</f>
        <v>375</v>
      </c>
      <c r="G2615" s="103">
        <f>FLOOR(D2615*F2615,0.01)</f>
        <v>5062.5</v>
      </c>
      <c r="H2615" s="127">
        <f>SUM(G2615)</f>
        <v>5062.5</v>
      </c>
    </row>
    <row r="2616" spans="1:8" ht="27.75" customHeight="1" outlineLevel="1">
      <c r="F2616" s="42" t="s">
        <v>1708</v>
      </c>
      <c r="G2616" s="117"/>
      <c r="H2616" s="65">
        <f>SUM(H2607:H2615)</f>
        <v>26340.19</v>
      </c>
    </row>
    <row r="2617" spans="1:8" ht="18.75" customHeight="1" outlineLevel="1">
      <c r="B2617" s="1" t="s">
        <v>1710</v>
      </c>
      <c r="F2617" s="42" t="s">
        <v>1689</v>
      </c>
      <c r="G2617" s="117"/>
      <c r="H2617" s="103">
        <f>FLOOR(H2616*0.15,0.01)</f>
        <v>3951.02</v>
      </c>
    </row>
    <row r="2618" spans="1:8" ht="18" customHeight="1" outlineLevel="1">
      <c r="A2618"/>
      <c r="B2618" s="147">
        <f>+H2618</f>
        <v>30291.21</v>
      </c>
      <c r="C2618" s="28" t="s">
        <v>3384</v>
      </c>
      <c r="D2618" s="103">
        <f>INT(B2618/B2619*100)/100</f>
        <v>3029.12</v>
      </c>
      <c r="E2618" s="1" t="s">
        <v>3385</v>
      </c>
      <c r="F2618" s="42" t="s">
        <v>1711</v>
      </c>
      <c r="G2618" s="117"/>
      <c r="H2618" s="103">
        <f>SUM(H2616:H2617)</f>
        <v>30291.21</v>
      </c>
    </row>
    <row r="2619" spans="1:8" ht="18" customHeight="1" outlineLevel="1">
      <c r="B2619" s="121">
        <v>10</v>
      </c>
    </row>
    <row r="2620" spans="1:8" ht="18" customHeight="1" outlineLevel="1">
      <c r="A2620" s="110" t="s">
        <v>3402</v>
      </c>
      <c r="B2620" s="121"/>
    </row>
    <row r="2621" spans="1:8" ht="18" customHeight="1" outlineLevel="1"/>
    <row r="2622" spans="1:8" ht="18" customHeight="1" outlineLevel="1">
      <c r="A2622" s="282">
        <f>A2602+1</f>
        <v>155</v>
      </c>
      <c r="B2622" s="1071" t="s">
        <v>3877</v>
      </c>
      <c r="C2622" s="1072"/>
      <c r="D2622" s="1072"/>
      <c r="E2622" s="1072"/>
      <c r="F2622" s="1072"/>
      <c r="G2622" s="1072"/>
      <c r="H2622" s="1072"/>
    </row>
    <row r="2623" spans="1:8" ht="18" customHeight="1" outlineLevel="1">
      <c r="A2623" s="791"/>
      <c r="B2623" s="1076" t="s">
        <v>3878</v>
      </c>
      <c r="C2623" s="1077"/>
      <c r="D2623" s="1077"/>
      <c r="E2623" s="1077"/>
      <c r="F2623" s="1077"/>
      <c r="G2623" s="1077"/>
      <c r="H2623" s="1077"/>
    </row>
    <row r="2624" spans="1:8" outlineLevel="1">
      <c r="B2624" s="1083" t="s">
        <v>1594</v>
      </c>
      <c r="C2624" s="1083"/>
      <c r="D2624" s="1083"/>
      <c r="E2624" s="1083"/>
      <c r="F2624" s="1083"/>
      <c r="G2624" s="1083"/>
      <c r="H2624" s="1083"/>
    </row>
    <row r="2625" spans="1:8" ht="31.5" outlineLevel="1">
      <c r="B2625" s="70" t="s">
        <v>3340</v>
      </c>
      <c r="C2625" s="70" t="s">
        <v>3341</v>
      </c>
      <c r="D2625" s="70" t="s">
        <v>3342</v>
      </c>
      <c r="E2625" s="70" t="s">
        <v>3343</v>
      </c>
      <c r="F2625" s="70" t="s">
        <v>3344</v>
      </c>
      <c r="G2625" s="70" t="s">
        <v>3345</v>
      </c>
      <c r="H2625" s="70" t="s">
        <v>1704</v>
      </c>
    </row>
    <row r="2626" spans="1:8" ht="17.25" outlineLevel="1">
      <c r="B2626" s="1067" t="s">
        <v>1705</v>
      </c>
      <c r="C2626" s="765" t="s">
        <v>610</v>
      </c>
      <c r="D2626" s="43">
        <v>14</v>
      </c>
      <c r="E2626" s="57" t="s">
        <v>1707</v>
      </c>
      <c r="F2626" s="111">
        <f>'update Rate'!F5</f>
        <v>525</v>
      </c>
      <c r="G2626" s="111">
        <f t="shared" ref="G2626:G2633" si="72">FLOOR(D2626*F2626,0.01)</f>
        <v>7350</v>
      </c>
      <c r="H2626" s="771"/>
    </row>
    <row r="2627" spans="1:8" ht="18" customHeight="1" outlineLevel="1">
      <c r="B2627" s="1070"/>
      <c r="C2627" s="58" t="s">
        <v>1647</v>
      </c>
      <c r="D2627" s="45">
        <v>12</v>
      </c>
      <c r="E2627" s="58" t="s">
        <v>1707</v>
      </c>
      <c r="F2627" s="65">
        <f>'update Rate'!F4</f>
        <v>375</v>
      </c>
      <c r="G2627" s="65">
        <f t="shared" si="72"/>
        <v>4500</v>
      </c>
      <c r="H2627" s="773">
        <f>SUM(G2626+G2627)</f>
        <v>11850</v>
      </c>
    </row>
    <row r="2628" spans="1:8" ht="18" customHeight="1" outlineLevel="1">
      <c r="B2628" s="1069" t="s">
        <v>2330</v>
      </c>
      <c r="C2628" s="55" t="s">
        <v>1507</v>
      </c>
      <c r="D2628" s="54">
        <v>6.3E-2</v>
      </c>
      <c r="E2628" s="55" t="s">
        <v>804</v>
      </c>
      <c r="F2628" s="113">
        <f>'update Rate'!F15</f>
        <v>14200</v>
      </c>
      <c r="G2628" s="113">
        <f t="shared" si="72"/>
        <v>894.6</v>
      </c>
      <c r="H2628" s="770"/>
    </row>
    <row r="2629" spans="1:8" ht="17.25" outlineLevel="1">
      <c r="B2629" s="1094"/>
      <c r="C2629" s="55" t="s">
        <v>801</v>
      </c>
      <c r="D2629" s="54">
        <v>0.128</v>
      </c>
      <c r="E2629" s="55" t="s">
        <v>2530</v>
      </c>
      <c r="F2629" s="113">
        <f>'update Rate'!F8</f>
        <v>1659.57</v>
      </c>
      <c r="G2629" s="113">
        <f t="shared" si="72"/>
        <v>212.42000000000002</v>
      </c>
      <c r="H2629" s="88"/>
    </row>
    <row r="2630" spans="1:8" ht="18" customHeight="1" outlineLevel="1">
      <c r="B2630" s="1094"/>
      <c r="C2630" s="56" t="s">
        <v>558</v>
      </c>
      <c r="D2630" s="44">
        <v>11</v>
      </c>
      <c r="E2630" s="55" t="s">
        <v>3170</v>
      </c>
      <c r="F2630" s="44">
        <f>'update Rate'!F41</f>
        <v>1345</v>
      </c>
      <c r="G2630" s="113">
        <f t="shared" si="72"/>
        <v>14795</v>
      </c>
      <c r="H2630" s="88"/>
    </row>
    <row r="2631" spans="1:8" ht="18" customHeight="1" outlineLevel="1">
      <c r="B2631" s="1094"/>
      <c r="C2631" s="55" t="s">
        <v>1783</v>
      </c>
      <c r="D2631" s="44">
        <v>0.37</v>
      </c>
      <c r="E2631" s="55" t="s">
        <v>3096</v>
      </c>
      <c r="F2631" s="44">
        <f>'update Rate'!$F$137</f>
        <v>115</v>
      </c>
      <c r="G2631" s="113">
        <f t="shared" si="72"/>
        <v>42.550000000000004</v>
      </c>
      <c r="H2631" s="88"/>
    </row>
    <row r="2632" spans="1:8" ht="18" customHeight="1" outlineLevel="1">
      <c r="B2632" s="1094"/>
      <c r="C2632" s="55" t="s">
        <v>2275</v>
      </c>
      <c r="D2632" s="54">
        <v>0.11799999999999999</v>
      </c>
      <c r="E2632" s="55" t="s">
        <v>3096</v>
      </c>
      <c r="F2632" s="44">
        <f>'update Rate'!$F$138</f>
        <v>200</v>
      </c>
      <c r="G2632" s="113">
        <f t="shared" si="72"/>
        <v>23.6</v>
      </c>
      <c r="H2632" s="88"/>
    </row>
    <row r="2633" spans="1:8" ht="18" customHeight="1" outlineLevel="1">
      <c r="B2633" s="1094"/>
      <c r="C2633" s="55" t="s">
        <v>2276</v>
      </c>
      <c r="D2633" s="54">
        <v>0.53800000000000003</v>
      </c>
      <c r="E2633" s="55" t="s">
        <v>2844</v>
      </c>
      <c r="F2633" s="44">
        <f>'update Rate'!$F$139</f>
        <v>180</v>
      </c>
      <c r="G2633" s="113">
        <f t="shared" si="72"/>
        <v>96.84</v>
      </c>
      <c r="H2633" s="88"/>
    </row>
    <row r="2634" spans="1:8" ht="18" customHeight="1" outlineLevel="1">
      <c r="B2634" s="1073"/>
      <c r="C2634" s="58" t="s">
        <v>2843</v>
      </c>
      <c r="D2634" s="65" t="s">
        <v>3171</v>
      </c>
      <c r="E2634" s="58" t="s">
        <v>3173</v>
      </c>
      <c r="F2634" s="65"/>
      <c r="G2634" s="65">
        <v>120</v>
      </c>
      <c r="H2634" s="772">
        <f>SUM(G2628:G2634)</f>
        <v>16185.01</v>
      </c>
    </row>
    <row r="2635" spans="1:8" ht="18" customHeight="1" outlineLevel="1">
      <c r="F2635" s="42" t="s">
        <v>1708</v>
      </c>
      <c r="G2635" s="117"/>
      <c r="H2635" s="65">
        <f>SUM(H2627:H2634)</f>
        <v>28035.010000000002</v>
      </c>
    </row>
    <row r="2636" spans="1:8" ht="18" customHeight="1" outlineLevel="1">
      <c r="B2636" s="1" t="s">
        <v>1710</v>
      </c>
      <c r="F2636" s="42" t="s">
        <v>1689</v>
      </c>
      <c r="G2636" s="117"/>
      <c r="H2636" s="103">
        <f>FLOOR(H2635*0.15,0.01)</f>
        <v>4205.25</v>
      </c>
    </row>
    <row r="2637" spans="1:8" ht="15.75" outlineLevel="1">
      <c r="A2637"/>
      <c r="B2637" s="147">
        <f>+H2637</f>
        <v>32240.260000000002</v>
      </c>
      <c r="C2637" s="28" t="s">
        <v>3384</v>
      </c>
      <c r="D2637" s="103">
        <f>INT(B2637/B2638*100)/100</f>
        <v>3224.02</v>
      </c>
      <c r="E2637" s="1" t="s">
        <v>3385</v>
      </c>
      <c r="F2637" s="42" t="s">
        <v>1711</v>
      </c>
      <c r="G2637" s="117"/>
      <c r="H2637" s="103">
        <f>SUM(H2635:H2636)</f>
        <v>32240.260000000002</v>
      </c>
    </row>
    <row r="2638" spans="1:8" ht="18" customHeight="1" outlineLevel="1">
      <c r="B2638" s="121">
        <v>10</v>
      </c>
    </row>
    <row r="2639" spans="1:8" ht="19.5" customHeight="1" outlineLevel="1">
      <c r="B2639" s="121"/>
    </row>
    <row r="2640" spans="1:8" ht="19.5" customHeight="1" outlineLevel="1">
      <c r="B2640" s="121"/>
    </row>
    <row r="2641" spans="1:8" ht="19.5" customHeight="1" outlineLevel="1">
      <c r="B2641" s="121"/>
    </row>
    <row r="2642" spans="1:8" ht="17.25" customHeight="1" outlineLevel="1">
      <c r="B2642" s="121"/>
    </row>
    <row r="2643" spans="1:8" ht="18" outlineLevel="1">
      <c r="A2643" s="145">
        <f>A2622+1</f>
        <v>156</v>
      </c>
      <c r="B2643" s="1101" t="s">
        <v>3880</v>
      </c>
      <c r="C2643" s="1088"/>
      <c r="D2643" s="1088"/>
      <c r="E2643" s="1088"/>
      <c r="F2643" s="1088"/>
      <c r="G2643" s="1088"/>
      <c r="H2643" s="1088"/>
    </row>
    <row r="2644" spans="1:8" ht="18" customHeight="1" outlineLevel="1">
      <c r="A2644" s="791" t="s">
        <v>3879</v>
      </c>
      <c r="B2644" s="1075" t="s">
        <v>2334</v>
      </c>
      <c r="C2644" s="1075"/>
      <c r="D2644" s="1075"/>
      <c r="E2644" s="1075"/>
      <c r="F2644" s="1075"/>
      <c r="G2644" s="1075"/>
      <c r="H2644" s="1075"/>
    </row>
    <row r="2645" spans="1:8" ht="31.5" outlineLevel="1">
      <c r="B2645" s="70" t="s">
        <v>3340</v>
      </c>
      <c r="C2645" s="70" t="s">
        <v>3341</v>
      </c>
      <c r="D2645" s="70" t="s">
        <v>3342</v>
      </c>
      <c r="E2645" s="70" t="s">
        <v>3343</v>
      </c>
      <c r="F2645" s="70" t="s">
        <v>3344</v>
      </c>
      <c r="G2645" s="70" t="s">
        <v>3345</v>
      </c>
      <c r="H2645" s="70" t="s">
        <v>1704</v>
      </c>
    </row>
    <row r="2646" spans="1:8" ht="17.25" outlineLevel="1">
      <c r="A2646" s="28"/>
      <c r="B2646" s="765" t="s">
        <v>614</v>
      </c>
      <c r="C2646" s="769" t="s">
        <v>790</v>
      </c>
      <c r="D2646" s="44">
        <v>2.5</v>
      </c>
      <c r="E2646" s="55" t="s">
        <v>1707</v>
      </c>
      <c r="F2646" s="120">
        <f>'update Rate'!$F$5</f>
        <v>525</v>
      </c>
      <c r="G2646" s="111">
        <f>FLOOR(D2646*F2646,0.01)</f>
        <v>1312.5</v>
      </c>
      <c r="H2646" s="771"/>
    </row>
    <row r="2647" spans="1:8" ht="18" customHeight="1" outlineLevel="1">
      <c r="B2647" s="70"/>
      <c r="C2647" s="70" t="s">
        <v>615</v>
      </c>
      <c r="D2647" s="792">
        <v>3.5</v>
      </c>
      <c r="E2647" s="66" t="s">
        <v>1707</v>
      </c>
      <c r="F2647" s="105">
        <f>'update Rate'!$F$4</f>
        <v>375</v>
      </c>
      <c r="G2647" s="105">
        <f>FLOOR(D2647*F2647,0.01)</f>
        <v>1312.5</v>
      </c>
      <c r="H2647" s="771">
        <f>SUM(G2646:G2647)</f>
        <v>2625</v>
      </c>
    </row>
    <row r="2648" spans="1:8" ht="18" customHeight="1" outlineLevel="1">
      <c r="F2648" s="1" t="s">
        <v>1708</v>
      </c>
      <c r="G2648" s="106"/>
      <c r="H2648" s="103">
        <f>SUM(H2646:H2647)</f>
        <v>2625</v>
      </c>
    </row>
    <row r="2649" spans="1:8" ht="18" customHeight="1" outlineLevel="1">
      <c r="B2649" s="1" t="s">
        <v>1710</v>
      </c>
      <c r="F2649" s="1" t="s">
        <v>1688</v>
      </c>
      <c r="G2649" s="106"/>
      <c r="H2649" s="103">
        <f>FLOOR(H2648*0.15,0.01)</f>
        <v>393.75</v>
      </c>
    </row>
    <row r="2650" spans="1:8" ht="16.5" outlineLevel="1">
      <c r="A2650" s="28"/>
      <c r="B2650" s="147">
        <f>+H2650</f>
        <v>3018.75</v>
      </c>
      <c r="C2650" s="28" t="s">
        <v>3384</v>
      </c>
      <c r="D2650" s="103">
        <f>FLOOR(B2650/B2651,0.01)</f>
        <v>301.87</v>
      </c>
      <c r="E2650" s="1" t="s">
        <v>3385</v>
      </c>
      <c r="F2650" s="1" t="s">
        <v>1711</v>
      </c>
      <c r="G2650" s="106"/>
      <c r="H2650" s="103">
        <f>SUM(H2648:H2649)</f>
        <v>3018.75</v>
      </c>
    </row>
    <row r="2651" spans="1:8" ht="18" customHeight="1" outlineLevel="1">
      <c r="B2651" s="149">
        <v>10</v>
      </c>
    </row>
    <row r="2652" spans="1:8" ht="18" customHeight="1" outlineLevel="1">
      <c r="B2652" s="149"/>
    </row>
    <row r="2653" spans="1:8" ht="18" customHeight="1" outlineLevel="1">
      <c r="B2653" s="149"/>
    </row>
    <row r="2654" spans="1:8" ht="18" customHeight="1" outlineLevel="1">
      <c r="B2654" s="149"/>
    </row>
    <row r="2655" spans="1:8" ht="18" customHeight="1" outlineLevel="1">
      <c r="B2655" s="121"/>
    </row>
    <row r="2656" spans="1:8" ht="18" customHeight="1" outlineLevel="1">
      <c r="A2656" s="145">
        <f>A2643+1</f>
        <v>157</v>
      </c>
      <c r="B2656" s="1101" t="s">
        <v>3881</v>
      </c>
      <c r="C2656" s="1088"/>
      <c r="D2656" s="1088"/>
      <c r="E2656" s="1088"/>
      <c r="F2656" s="1088"/>
      <c r="G2656" s="1088"/>
      <c r="H2656" s="1088"/>
    </row>
    <row r="2657" spans="1:8" ht="18" customHeight="1" outlineLevel="1">
      <c r="A2657" s="791" t="s">
        <v>4423</v>
      </c>
      <c r="B2657" s="1075" t="s">
        <v>2334</v>
      </c>
      <c r="C2657" s="1075"/>
      <c r="D2657" s="1075"/>
      <c r="E2657" s="1075"/>
      <c r="F2657" s="1075"/>
      <c r="G2657" s="1075"/>
      <c r="H2657" s="1075"/>
    </row>
    <row r="2658" spans="1:8" ht="31.5" outlineLevel="1">
      <c r="B2658" s="70" t="s">
        <v>3340</v>
      </c>
      <c r="C2658" s="70" t="s">
        <v>3341</v>
      </c>
      <c r="D2658" s="70" t="s">
        <v>3342</v>
      </c>
      <c r="E2658" s="70" t="s">
        <v>3343</v>
      </c>
      <c r="F2658" s="70" t="s">
        <v>3344</v>
      </c>
      <c r="G2658" s="70" t="s">
        <v>3345</v>
      </c>
      <c r="H2658" s="70" t="s">
        <v>1704</v>
      </c>
    </row>
    <row r="2659" spans="1:8" ht="17.25" outlineLevel="1">
      <c r="A2659" s="28"/>
      <c r="B2659" s="70" t="s">
        <v>614</v>
      </c>
      <c r="C2659" s="70" t="s">
        <v>615</v>
      </c>
      <c r="D2659" s="46">
        <v>13.5</v>
      </c>
      <c r="E2659" s="66" t="s">
        <v>1707</v>
      </c>
      <c r="F2659" s="105">
        <f>'update Rate'!$F$4</f>
        <v>375</v>
      </c>
      <c r="G2659" s="105">
        <f>FLOOR(D2659*F2659,0.01)</f>
        <v>5062.5</v>
      </c>
      <c r="H2659" s="771">
        <f>SUM(F2659:G2659)</f>
        <v>5437.5</v>
      </c>
    </row>
    <row r="2660" spans="1:8" ht="18" customHeight="1" outlineLevel="1">
      <c r="F2660" s="1" t="s">
        <v>1708</v>
      </c>
      <c r="G2660" s="106"/>
      <c r="H2660" s="103">
        <f>SUM(H2659:H2659)</f>
        <v>5437.5</v>
      </c>
    </row>
    <row r="2661" spans="1:8" ht="18" customHeight="1" outlineLevel="1">
      <c r="B2661" s="1" t="s">
        <v>1710</v>
      </c>
      <c r="F2661" s="1" t="s">
        <v>1688</v>
      </c>
      <c r="G2661" s="106"/>
      <c r="H2661" s="103">
        <f>FLOOR(H2660*0.15,0.01)</f>
        <v>815.62</v>
      </c>
    </row>
    <row r="2662" spans="1:8" ht="18" customHeight="1" outlineLevel="1">
      <c r="A2662" s="28"/>
      <c r="B2662" s="147">
        <f>+H2662</f>
        <v>6253.12</v>
      </c>
      <c r="C2662" s="28" t="s">
        <v>3384</v>
      </c>
      <c r="D2662" s="103">
        <f>FLOOR(B2662/B2663,0.01)</f>
        <v>625.31000000000006</v>
      </c>
      <c r="E2662" s="1" t="s">
        <v>3385</v>
      </c>
      <c r="F2662" s="1" t="s">
        <v>1711</v>
      </c>
      <c r="G2662" s="106"/>
      <c r="H2662" s="103">
        <f>SUM(H2660:H2661)</f>
        <v>6253.12</v>
      </c>
    </row>
    <row r="2663" spans="1:8" ht="18" customHeight="1" outlineLevel="1">
      <c r="B2663" s="149">
        <v>10</v>
      </c>
    </row>
    <row r="2664" spans="1:8" ht="18" customHeight="1" outlineLevel="1">
      <c r="B2664" s="149"/>
    </row>
    <row r="2665" spans="1:8" ht="18" customHeight="1" outlineLevel="1">
      <c r="B2665" s="121"/>
    </row>
    <row r="2666" spans="1:8" ht="18" customHeight="1" outlineLevel="1">
      <c r="A2666" s="282">
        <f>A2656+1</f>
        <v>158</v>
      </c>
      <c r="B2666" s="1071" t="s">
        <v>3882</v>
      </c>
      <c r="C2666" s="1072"/>
      <c r="D2666" s="1072"/>
      <c r="E2666" s="1072"/>
      <c r="F2666" s="1072"/>
      <c r="G2666" s="1072"/>
      <c r="H2666" s="1072"/>
    </row>
    <row r="2667" spans="1:8" ht="19.5" outlineLevel="1">
      <c r="A2667" s="1019" t="s">
        <v>4059</v>
      </c>
      <c r="B2667" s="1076" t="s">
        <v>3883</v>
      </c>
      <c r="C2667" s="1077"/>
      <c r="D2667" s="1077"/>
      <c r="E2667" s="1077"/>
      <c r="F2667" s="1077"/>
      <c r="G2667" s="1077"/>
      <c r="H2667" s="1077"/>
    </row>
    <row r="2668" spans="1:8" ht="18" customHeight="1" outlineLevel="1">
      <c r="B2668" s="1083" t="s">
        <v>1594</v>
      </c>
      <c r="C2668" s="1083"/>
      <c r="D2668" s="1083"/>
      <c r="E2668" s="1083"/>
      <c r="F2668" s="1083"/>
      <c r="G2668" s="1083"/>
      <c r="H2668" s="1083"/>
    </row>
    <row r="2669" spans="1:8" ht="31.5" outlineLevel="1">
      <c r="B2669" s="70" t="s">
        <v>3340</v>
      </c>
      <c r="C2669" s="70" t="s">
        <v>3341</v>
      </c>
      <c r="D2669" s="70" t="s">
        <v>3342</v>
      </c>
      <c r="E2669" s="70" t="s">
        <v>3343</v>
      </c>
      <c r="F2669" s="70" t="s">
        <v>3344</v>
      </c>
      <c r="G2669" s="70" t="s">
        <v>3345</v>
      </c>
      <c r="H2669" s="70" t="s">
        <v>1704</v>
      </c>
    </row>
    <row r="2670" spans="1:8" ht="18" customHeight="1" outlineLevel="1">
      <c r="B2670" s="1067" t="s">
        <v>1705</v>
      </c>
      <c r="C2670" s="765" t="s">
        <v>610</v>
      </c>
      <c r="D2670" s="43">
        <v>6.5</v>
      </c>
      <c r="E2670" s="57" t="s">
        <v>1707</v>
      </c>
      <c r="F2670" s="111">
        <f>'update Rate'!F5</f>
        <v>525</v>
      </c>
      <c r="G2670" s="111">
        <f>FLOOR(D2670*F2670,0.01)</f>
        <v>3412.5</v>
      </c>
      <c r="H2670" s="771"/>
    </row>
    <row r="2671" spans="1:8" ht="17.25" outlineLevel="1">
      <c r="B2671" s="1070"/>
      <c r="C2671" s="58" t="s">
        <v>1647</v>
      </c>
      <c r="D2671" s="45">
        <v>0.65</v>
      </c>
      <c r="E2671" s="58" t="s">
        <v>1707</v>
      </c>
      <c r="F2671" s="65">
        <f>'update Rate'!F4</f>
        <v>375</v>
      </c>
      <c r="G2671" s="65">
        <f>FLOOR(D2671*F2671,0.01)</f>
        <v>243.75</v>
      </c>
      <c r="H2671" s="773">
        <f>SUM(G2670:G2671)</f>
        <v>3656.25</v>
      </c>
    </row>
    <row r="2672" spans="1:8" ht="18" customHeight="1" outlineLevel="1">
      <c r="B2672" s="1069" t="s">
        <v>2330</v>
      </c>
      <c r="C2672" s="55" t="s">
        <v>1839</v>
      </c>
      <c r="D2672" s="54">
        <v>10</v>
      </c>
      <c r="E2672" s="55" t="s">
        <v>3170</v>
      </c>
      <c r="F2672" s="585">
        <f>'update Rate'!F231</f>
        <v>1379.97</v>
      </c>
      <c r="G2672" s="113">
        <f>FLOOR(D2672*F2672,0.01)</f>
        <v>13799.7</v>
      </c>
      <c r="H2672" s="770"/>
    </row>
    <row r="2673" spans="1:8" ht="18" customHeight="1" outlineLevel="1">
      <c r="B2673" s="1073"/>
      <c r="C2673" s="58" t="s">
        <v>3473</v>
      </c>
      <c r="D2673" s="51">
        <v>1</v>
      </c>
      <c r="E2673" s="58" t="s">
        <v>3096</v>
      </c>
      <c r="F2673" s="65">
        <f>'update Rate'!F146</f>
        <v>220</v>
      </c>
      <c r="G2673" s="65">
        <f>FLOOR(D2673*F2673,0.01)</f>
        <v>220</v>
      </c>
      <c r="H2673" s="772">
        <f>SUM(G2672:G2673)</f>
        <v>14019.7</v>
      </c>
    </row>
    <row r="2674" spans="1:8" ht="18" customHeight="1" outlineLevel="1">
      <c r="F2674" s="42" t="s">
        <v>1708</v>
      </c>
      <c r="G2674" s="117"/>
      <c r="H2674" s="65">
        <f>SUM(H2671:H2673)</f>
        <v>17675.95</v>
      </c>
    </row>
    <row r="2675" spans="1:8" ht="15.75" outlineLevel="1">
      <c r="B2675" s="1" t="s">
        <v>1710</v>
      </c>
      <c r="F2675" s="42" t="s">
        <v>1689</v>
      </c>
      <c r="G2675" s="117"/>
      <c r="H2675" s="103">
        <f>FLOOR(H2674*0.15,0.01)</f>
        <v>2651.39</v>
      </c>
    </row>
    <row r="2676" spans="1:8" ht="18" customHeight="1" outlineLevel="1">
      <c r="A2676"/>
      <c r="B2676" s="147">
        <f>+H2676</f>
        <v>20327.34</v>
      </c>
      <c r="C2676" s="28" t="s">
        <v>3384</v>
      </c>
      <c r="D2676" s="103">
        <f>INT(B2676/B2677*100)/100</f>
        <v>2032.73</v>
      </c>
      <c r="E2676" s="1" t="s">
        <v>3385</v>
      </c>
      <c r="F2676" s="42" t="s">
        <v>1711</v>
      </c>
      <c r="G2676" s="117"/>
      <c r="H2676" s="103">
        <f>SUM(H2674:H2675)</f>
        <v>20327.34</v>
      </c>
    </row>
    <row r="2677" spans="1:8" ht="18" customHeight="1" outlineLevel="1">
      <c r="B2677" s="121">
        <v>10</v>
      </c>
    </row>
    <row r="2678" spans="1:8" ht="18" customHeight="1" outlineLevel="1">
      <c r="B2678" s="121"/>
    </row>
    <row r="2679" spans="1:8" ht="18" customHeight="1" outlineLevel="1">
      <c r="B2679" s="121"/>
    </row>
    <row r="2680" spans="1:8" ht="18" customHeight="1" outlineLevel="1">
      <c r="B2680" s="121"/>
    </row>
    <row r="2681" spans="1:8" ht="21.75" customHeight="1" outlineLevel="1">
      <c r="B2681" s="121"/>
    </row>
    <row r="2682" spans="1:8" ht="19.5" outlineLevel="1">
      <c r="A2682" s="145">
        <f>A2666+1</f>
        <v>159</v>
      </c>
      <c r="B2682" s="1071" t="s">
        <v>3884</v>
      </c>
      <c r="C2682" s="1072"/>
      <c r="D2682" s="1072"/>
      <c r="E2682" s="1072"/>
      <c r="F2682" s="1072"/>
      <c r="G2682" s="1072"/>
      <c r="H2682" s="1072"/>
    </row>
    <row r="2683" spans="1:8" ht="18" customHeight="1" outlineLevel="1">
      <c r="A2683" s="856" t="s">
        <v>4060</v>
      </c>
      <c r="B2683" s="1076" t="s">
        <v>3885</v>
      </c>
      <c r="C2683" s="1077"/>
      <c r="D2683" s="1077"/>
      <c r="E2683" s="1077"/>
      <c r="F2683" s="1077"/>
      <c r="G2683" s="1077"/>
      <c r="H2683" s="1077"/>
    </row>
    <row r="2684" spans="1:8" outlineLevel="1">
      <c r="B2684" s="1083" t="s">
        <v>3886</v>
      </c>
      <c r="C2684" s="1083"/>
      <c r="D2684" s="1083"/>
      <c r="E2684" s="1083"/>
      <c r="F2684" s="1083"/>
      <c r="G2684" s="1083"/>
      <c r="H2684" s="1083"/>
    </row>
    <row r="2685" spans="1:8" ht="31.5" outlineLevel="1">
      <c r="B2685" s="70" t="s">
        <v>3340</v>
      </c>
      <c r="C2685" s="70" t="s">
        <v>3341</v>
      </c>
      <c r="D2685" s="70" t="s">
        <v>3342</v>
      </c>
      <c r="E2685" s="70" t="s">
        <v>3343</v>
      </c>
      <c r="F2685" s="70" t="s">
        <v>3344</v>
      </c>
      <c r="G2685" s="70" t="s">
        <v>3345</v>
      </c>
      <c r="H2685" s="70" t="s">
        <v>1704</v>
      </c>
    </row>
    <row r="2686" spans="1:8" ht="17.25" outlineLevel="1">
      <c r="B2686" s="1067" t="s">
        <v>1705</v>
      </c>
      <c r="C2686" s="765" t="s">
        <v>610</v>
      </c>
      <c r="D2686" s="43">
        <v>0.15</v>
      </c>
      <c r="E2686" s="57" t="s">
        <v>1707</v>
      </c>
      <c r="F2686" s="111">
        <f>'update Rate'!F5</f>
        <v>525</v>
      </c>
      <c r="G2686" s="111">
        <f>FLOOR(D2686*F2686,0.01)</f>
        <v>78.75</v>
      </c>
      <c r="H2686" s="771"/>
    </row>
    <row r="2687" spans="1:8" ht="20.25" customHeight="1" outlineLevel="1">
      <c r="B2687" s="1070"/>
      <c r="C2687" s="58" t="s">
        <v>1647</v>
      </c>
      <c r="D2687" s="45">
        <v>0.1</v>
      </c>
      <c r="E2687" s="58" t="s">
        <v>1707</v>
      </c>
      <c r="F2687" s="65">
        <f>'update Rate'!F4</f>
        <v>375</v>
      </c>
      <c r="G2687" s="65">
        <f>FLOOR(D2687*F2687,0.01)</f>
        <v>37.5</v>
      </c>
      <c r="H2687" s="773">
        <f>SUM(G2686:G2687)</f>
        <v>116.25</v>
      </c>
    </row>
    <row r="2688" spans="1:8" ht="18" customHeight="1" outlineLevel="1">
      <c r="B2688" s="1069" t="s">
        <v>2330</v>
      </c>
      <c r="C2688" s="55" t="s">
        <v>1650</v>
      </c>
      <c r="D2688" s="54">
        <v>1E-3</v>
      </c>
      <c r="E2688" s="55" t="s">
        <v>804</v>
      </c>
      <c r="F2688" s="113">
        <f>'update Rate'!F15</f>
        <v>14200</v>
      </c>
      <c r="G2688" s="113">
        <f>FLOOR(D2688*F2688,0.01)</f>
        <v>14.200000000000001</v>
      </c>
      <c r="H2688" s="770"/>
    </row>
    <row r="2689" spans="1:8" ht="18" customHeight="1" outlineLevel="1">
      <c r="B2689" s="1094"/>
      <c r="C2689" s="55" t="s">
        <v>1508</v>
      </c>
      <c r="D2689" s="54">
        <v>3.0000000000000001E-3</v>
      </c>
      <c r="E2689" s="55" t="s">
        <v>2530</v>
      </c>
      <c r="F2689" s="113">
        <f>'update Rate'!F8</f>
        <v>1659.57</v>
      </c>
      <c r="G2689" s="113">
        <f t="shared" ref="G2689:G2690" si="73">FLOOR(D2689*F2689,0.01)</f>
        <v>4.97</v>
      </c>
      <c r="H2689" s="88"/>
    </row>
    <row r="2690" spans="1:8" ht="18" customHeight="1" outlineLevel="1">
      <c r="B2690" s="1094"/>
      <c r="C2690" s="55" t="s">
        <v>4061</v>
      </c>
      <c r="D2690" s="54">
        <v>0.11</v>
      </c>
      <c r="E2690" s="55" t="s">
        <v>3170</v>
      </c>
      <c r="F2690" s="585">
        <f>'update Rate'!F129</f>
        <v>624.08000000000004</v>
      </c>
      <c r="G2690" s="113">
        <f t="shared" si="73"/>
        <v>68.64</v>
      </c>
      <c r="H2690" s="88"/>
    </row>
    <row r="2691" spans="1:8" ht="18" customHeight="1" outlineLevel="1">
      <c r="B2691" s="1073"/>
      <c r="C2691" s="58" t="s">
        <v>3887</v>
      </c>
      <c r="D2691" s="65"/>
      <c r="E2691" s="58" t="s">
        <v>3171</v>
      </c>
      <c r="F2691" s="65">
        <v>20</v>
      </c>
      <c r="G2691" s="65">
        <f>F2691</f>
        <v>20</v>
      </c>
      <c r="H2691" s="772">
        <f>SUM(G2688:G2691)</f>
        <v>107.81</v>
      </c>
    </row>
    <row r="2692" spans="1:8" ht="15.75" outlineLevel="1">
      <c r="F2692" s="42" t="s">
        <v>1708</v>
      </c>
      <c r="G2692" s="117"/>
      <c r="H2692" s="65">
        <f>SUM(H2687:H2691)</f>
        <v>224.06</v>
      </c>
    </row>
    <row r="2693" spans="1:8" ht="18" customHeight="1" outlineLevel="1">
      <c r="B2693" s="1" t="s">
        <v>1538</v>
      </c>
      <c r="F2693" s="42" t="s">
        <v>1689</v>
      </c>
      <c r="G2693" s="117"/>
      <c r="H2693" s="103">
        <f>FLOOR(H2692*0.15,0.01)</f>
        <v>33.6</v>
      </c>
    </row>
    <row r="2694" spans="1:8" ht="15.75" outlineLevel="1">
      <c r="A2694" s="28" t="s">
        <v>3384</v>
      </c>
      <c r="B2694" s="103">
        <f>+H2694</f>
        <v>257.66000000000003</v>
      </c>
      <c r="C2694" s="1" t="s">
        <v>3385</v>
      </c>
      <c r="D2694" s="151"/>
      <c r="F2694" s="42" t="s">
        <v>1711</v>
      </c>
      <c r="G2694" s="117"/>
      <c r="H2694" s="103">
        <f>SUM(H2692:H2693)</f>
        <v>257.66000000000003</v>
      </c>
    </row>
    <row r="2695" spans="1:8" ht="18" customHeight="1" outlineLevel="1">
      <c r="B2695" s="121"/>
    </row>
    <row r="2696" spans="1:8" ht="18" customHeight="1" outlineLevel="1">
      <c r="B2696" s="121"/>
    </row>
    <row r="2697" spans="1:8" ht="18" customHeight="1" outlineLevel="1">
      <c r="B2697" s="121"/>
    </row>
    <row r="2698" spans="1:8" outlineLevel="1">
      <c r="B2698" s="121"/>
    </row>
    <row r="2699" spans="1:8" outlineLevel="1">
      <c r="B2699" s="121"/>
    </row>
    <row r="2700" spans="1:8" ht="18" customHeight="1" outlineLevel="1">
      <c r="A2700" s="781">
        <f>A2682+1</f>
        <v>160</v>
      </c>
      <c r="B2700" s="1160" t="s">
        <v>3409</v>
      </c>
      <c r="C2700" s="1161"/>
      <c r="D2700" s="1161"/>
      <c r="E2700" s="1161"/>
      <c r="F2700" s="1161"/>
      <c r="G2700" s="1161"/>
      <c r="H2700" s="1161"/>
    </row>
    <row r="2701" spans="1:8" ht="18" customHeight="1" outlineLevel="1">
      <c r="A2701" s="1019" t="s">
        <v>4424</v>
      </c>
      <c r="B2701" s="1167" t="s">
        <v>1592</v>
      </c>
      <c r="C2701" s="1171"/>
      <c r="D2701" s="1171"/>
      <c r="E2701" s="1171"/>
      <c r="F2701" s="1171"/>
      <c r="G2701" s="1171"/>
      <c r="H2701" s="1171"/>
    </row>
    <row r="2702" spans="1:8" ht="31.5" outlineLevel="1">
      <c r="B2702" s="70" t="s">
        <v>3340</v>
      </c>
      <c r="C2702" s="70" t="s">
        <v>3341</v>
      </c>
      <c r="D2702" s="70" t="s">
        <v>3342</v>
      </c>
      <c r="E2702" s="70" t="s">
        <v>3343</v>
      </c>
      <c r="F2702" s="70" t="s">
        <v>3344</v>
      </c>
      <c r="G2702" s="70" t="s">
        <v>3345</v>
      </c>
      <c r="H2702" s="70" t="s">
        <v>1704</v>
      </c>
    </row>
    <row r="2703" spans="1:8" ht="18" customHeight="1" outlineLevel="1">
      <c r="B2703" s="1067" t="s">
        <v>1705</v>
      </c>
      <c r="C2703" s="60" t="s">
        <v>610</v>
      </c>
      <c r="D2703" s="43">
        <v>15</v>
      </c>
      <c r="E2703" s="57" t="s">
        <v>1707</v>
      </c>
      <c r="F2703" s="111">
        <f>'update Rate'!F5</f>
        <v>525</v>
      </c>
      <c r="G2703" s="111">
        <f>FLOOR(D2703*F2703,0.01)</f>
        <v>7875</v>
      </c>
      <c r="H2703" s="112"/>
    </row>
    <row r="2704" spans="1:8" ht="18" customHeight="1" outlineLevel="1">
      <c r="B2704" s="1070"/>
      <c r="C2704" s="80" t="s">
        <v>1647</v>
      </c>
      <c r="D2704" s="45">
        <v>20</v>
      </c>
      <c r="E2704" s="58" t="s">
        <v>1707</v>
      </c>
      <c r="F2704" s="65">
        <f>'update Rate'!F4</f>
        <v>375</v>
      </c>
      <c r="G2704" s="65">
        <f>FLOOR(D2704*F2704,0.01)</f>
        <v>7500</v>
      </c>
      <c r="H2704" s="125">
        <f>SUM(G2703+G2704)</f>
        <v>15375</v>
      </c>
    </row>
    <row r="2705" spans="1:8" ht="18" customHeight="1" outlineLevel="1">
      <c r="B2705" s="1069" t="s">
        <v>2330</v>
      </c>
      <c r="C2705" s="57" t="s">
        <v>1650</v>
      </c>
      <c r="D2705" s="48">
        <v>0.625</v>
      </c>
      <c r="E2705" s="57" t="s">
        <v>804</v>
      </c>
      <c r="F2705" s="114">
        <f>'update Rate'!F15</f>
        <v>14200</v>
      </c>
      <c r="G2705" s="113">
        <f>FLOOR(D2705*F2705,0.01)</f>
        <v>8875</v>
      </c>
      <c r="H2705" s="112"/>
    </row>
    <row r="2706" spans="1:8" ht="18" customHeight="1" outlineLevel="1">
      <c r="B2706" s="1070"/>
      <c r="C2706" s="58" t="s">
        <v>801</v>
      </c>
      <c r="D2706" s="45">
        <v>1.28</v>
      </c>
      <c r="E2706" s="58" t="s">
        <v>2530</v>
      </c>
      <c r="F2706" s="65">
        <f>'update Rate'!F8</f>
        <v>1659.57</v>
      </c>
      <c r="G2706" s="65">
        <f>FLOOR(D2706*F2706,0.01)</f>
        <v>2124.2400000000002</v>
      </c>
      <c r="H2706" s="127">
        <f>SUM(G2705:G2706)</f>
        <v>10999.24</v>
      </c>
    </row>
    <row r="2707" spans="1:8" ht="18" customHeight="1">
      <c r="F2707" s="42" t="s">
        <v>1708</v>
      </c>
      <c r="G2707" s="106"/>
      <c r="H2707" s="65">
        <f>SUM(H2706,H2704)</f>
        <v>26374.239999999998</v>
      </c>
    </row>
    <row r="2708" spans="1:8" ht="16.5">
      <c r="B2708" s="1" t="s">
        <v>1710</v>
      </c>
      <c r="F2708" s="42" t="s">
        <v>1689</v>
      </c>
      <c r="G2708" s="106"/>
      <c r="H2708" s="103">
        <f>FLOOR(H2707*0.15,0.01)</f>
        <v>3956.13</v>
      </c>
    </row>
    <row r="2709" spans="1:8" ht="16.5">
      <c r="A2709"/>
      <c r="B2709" s="147">
        <f>+H2709</f>
        <v>30330.37</v>
      </c>
      <c r="C2709" s="28" t="s">
        <v>3384</v>
      </c>
      <c r="D2709" s="103">
        <f>INT(B2709/B2710*100)/100</f>
        <v>303.3</v>
      </c>
      <c r="E2709" s="1" t="s">
        <v>3385</v>
      </c>
      <c r="F2709" s="42" t="s">
        <v>1711</v>
      </c>
      <c r="G2709" s="106"/>
      <c r="H2709" s="103">
        <f>SUM(H2707:H2708)</f>
        <v>30330.37</v>
      </c>
    </row>
    <row r="2710" spans="1:8" ht="18" customHeight="1">
      <c r="B2710" s="121">
        <v>100</v>
      </c>
    </row>
    <row r="2711" spans="1:8" ht="18" customHeight="1"/>
    <row r="2712" spans="1:8" ht="18" customHeight="1">
      <c r="A2712" s="282">
        <f>+A2700+1</f>
        <v>161</v>
      </c>
      <c r="B2712" s="1076" t="s">
        <v>1182</v>
      </c>
      <c r="C2712" s="1077"/>
      <c r="D2712" s="1077"/>
      <c r="E2712" s="1077"/>
      <c r="F2712" s="1077"/>
      <c r="G2712" s="1077"/>
      <c r="H2712" s="1077"/>
    </row>
    <row r="2713" spans="1:8" ht="28.5" customHeight="1">
      <c r="A2713" s="1019" t="s">
        <v>4424</v>
      </c>
      <c r="B2713" s="1074" t="s">
        <v>1592</v>
      </c>
      <c r="C2713" s="1075"/>
      <c r="D2713" s="1075"/>
      <c r="E2713" s="1075"/>
      <c r="F2713" s="1075"/>
      <c r="G2713" s="1075"/>
      <c r="H2713" s="1075"/>
    </row>
    <row r="2714" spans="1:8" ht="31.5">
      <c r="B2714" s="70" t="s">
        <v>3340</v>
      </c>
      <c r="C2714" s="70" t="s">
        <v>3341</v>
      </c>
      <c r="D2714" s="70" t="s">
        <v>3342</v>
      </c>
      <c r="E2714" s="70" t="s">
        <v>3343</v>
      </c>
      <c r="F2714" s="70" t="s">
        <v>3344</v>
      </c>
      <c r="G2714" s="70" t="s">
        <v>3345</v>
      </c>
      <c r="H2714" s="70" t="s">
        <v>1704</v>
      </c>
    </row>
    <row r="2715" spans="1:8" ht="18" customHeight="1">
      <c r="B2715" s="1067" t="s">
        <v>1705</v>
      </c>
      <c r="C2715" s="60" t="s">
        <v>610</v>
      </c>
      <c r="D2715" s="43">
        <v>15</v>
      </c>
      <c r="E2715" s="57" t="s">
        <v>1707</v>
      </c>
      <c r="F2715" s="111">
        <f>'update Rate'!F5</f>
        <v>525</v>
      </c>
      <c r="G2715" s="111">
        <f>FLOOR(D2715*F2715,0.01)</f>
        <v>7875</v>
      </c>
      <c r="H2715" s="112"/>
    </row>
    <row r="2716" spans="1:8" ht="18" customHeight="1">
      <c r="B2716" s="1070"/>
      <c r="C2716" s="80" t="s">
        <v>1647</v>
      </c>
      <c r="D2716" s="45">
        <v>20</v>
      </c>
      <c r="E2716" s="58" t="s">
        <v>1707</v>
      </c>
      <c r="F2716" s="65">
        <f>'update Rate'!F4</f>
        <v>375</v>
      </c>
      <c r="G2716" s="65">
        <f>FLOOR(D2716*F2716,0.01)</f>
        <v>7500</v>
      </c>
      <c r="H2716" s="125">
        <f>SUM(G2715+G2716)</f>
        <v>15375</v>
      </c>
    </row>
    <row r="2717" spans="1:8" ht="18" customHeight="1">
      <c r="B2717" s="1069" t="s">
        <v>2330</v>
      </c>
      <c r="C2717" s="57" t="s">
        <v>1650</v>
      </c>
      <c r="D2717" s="48">
        <v>0.53800000000000003</v>
      </c>
      <c r="E2717" s="57" t="s">
        <v>804</v>
      </c>
      <c r="F2717" s="114">
        <f>'update Rate'!F15</f>
        <v>14200</v>
      </c>
      <c r="G2717" s="113">
        <f>FLOOR(D2717*F2717,0.01)</f>
        <v>7639.6</v>
      </c>
      <c r="H2717" s="112"/>
    </row>
    <row r="2718" spans="1:8" ht="18" customHeight="1">
      <c r="B2718" s="1070"/>
      <c r="C2718" s="58" t="s">
        <v>801</v>
      </c>
      <c r="D2718" s="45">
        <v>1.46</v>
      </c>
      <c r="E2718" s="58" t="s">
        <v>2530</v>
      </c>
      <c r="F2718" s="65">
        <f>'update Rate'!F8</f>
        <v>1659.57</v>
      </c>
      <c r="G2718" s="65">
        <f>FLOOR(D2718*F2718,0.01)</f>
        <v>2422.9700000000003</v>
      </c>
      <c r="H2718" s="127">
        <f>SUM(G2717:G2718)</f>
        <v>10062.57</v>
      </c>
    </row>
    <row r="2719" spans="1:8" ht="16.5">
      <c r="F2719" s="42" t="s">
        <v>1708</v>
      </c>
      <c r="G2719" s="106"/>
      <c r="H2719" s="65">
        <f>SUM(H2718,H2716)</f>
        <v>25437.57</v>
      </c>
    </row>
    <row r="2720" spans="1:8" ht="14.25" customHeight="1">
      <c r="B2720" s="1" t="s">
        <v>1710</v>
      </c>
      <c r="F2720" s="42" t="s">
        <v>1689</v>
      </c>
      <c r="G2720" s="106"/>
      <c r="H2720" s="103">
        <f>FLOOR(H2719*0.15,0.01)</f>
        <v>3815.63</v>
      </c>
    </row>
    <row r="2721" spans="1:8" ht="15" customHeight="1">
      <c r="A2721"/>
      <c r="B2721" s="147">
        <f>+H2721</f>
        <v>29253.200000000001</v>
      </c>
      <c r="C2721" s="28" t="s">
        <v>3384</v>
      </c>
      <c r="D2721" s="103">
        <f>INT(B2721/B2722*100)/100</f>
        <v>292.52999999999997</v>
      </c>
      <c r="E2721" s="1" t="s">
        <v>3385</v>
      </c>
      <c r="F2721" s="42" t="s">
        <v>1711</v>
      </c>
      <c r="G2721" s="106"/>
      <c r="H2721" s="103">
        <f>SUM(H2719:H2720)</f>
        <v>29253.200000000001</v>
      </c>
    </row>
    <row r="2722" spans="1:8" ht="18" customHeight="1">
      <c r="A2722" s="28"/>
      <c r="B2722" s="121">
        <v>100</v>
      </c>
      <c r="H2722" s="19"/>
    </row>
    <row r="2723" spans="1:8" ht="18" customHeight="1">
      <c r="A2723" s="28"/>
      <c r="B2723" s="121"/>
      <c r="H2723" s="19"/>
    </row>
    <row r="2724" spans="1:8" ht="18" customHeight="1">
      <c r="A2724" s="28"/>
      <c r="B2724" s="121"/>
      <c r="H2724" s="19"/>
    </row>
    <row r="2725" spans="1:8" ht="18" customHeight="1">
      <c r="A2725" s="28"/>
      <c r="B2725" s="121"/>
      <c r="H2725" s="19"/>
    </row>
    <row r="2726" spans="1:8" ht="30" customHeight="1">
      <c r="A2726" s="32"/>
      <c r="B2726" s="1077" t="s">
        <v>1183</v>
      </c>
      <c r="C2726" s="1077"/>
      <c r="D2726" s="1077"/>
      <c r="E2726" s="1077"/>
      <c r="F2726" s="1077"/>
      <c r="G2726" s="1077"/>
      <c r="H2726" s="1077"/>
    </row>
    <row r="2727" spans="1:8" ht="19.5">
      <c r="A2727" s="282">
        <f>+A2712+1</f>
        <v>162</v>
      </c>
      <c r="B2727" s="1076" t="s">
        <v>1184</v>
      </c>
      <c r="C2727" s="1077"/>
      <c r="D2727" s="1077"/>
      <c r="E2727" s="1077"/>
      <c r="F2727" s="1077"/>
      <c r="G2727" s="1077"/>
      <c r="H2727" s="1077"/>
    </row>
    <row r="2728" spans="1:8">
      <c r="A2728" s="1019" t="s">
        <v>4424</v>
      </c>
      <c r="B2728" s="1074" t="s">
        <v>1592</v>
      </c>
      <c r="C2728" s="1075"/>
      <c r="D2728" s="1075"/>
      <c r="E2728" s="1075"/>
      <c r="F2728" s="1075"/>
      <c r="G2728" s="1075"/>
      <c r="H2728" s="1075"/>
    </row>
    <row r="2729" spans="1:8" ht="31.5">
      <c r="B2729" s="70" t="s">
        <v>3340</v>
      </c>
      <c r="C2729" s="70" t="s">
        <v>3341</v>
      </c>
      <c r="D2729" s="70" t="s">
        <v>3342</v>
      </c>
      <c r="E2729" s="70" t="s">
        <v>3343</v>
      </c>
      <c r="F2729" s="70" t="s">
        <v>3344</v>
      </c>
      <c r="G2729" s="70" t="s">
        <v>3345</v>
      </c>
      <c r="H2729" s="70" t="s">
        <v>1704</v>
      </c>
    </row>
    <row r="2730" spans="1:8" ht="18" customHeight="1">
      <c r="B2730" s="1067" t="s">
        <v>1705</v>
      </c>
      <c r="C2730" s="60" t="s">
        <v>610</v>
      </c>
      <c r="D2730" s="43">
        <v>12</v>
      </c>
      <c r="E2730" s="57" t="s">
        <v>1707</v>
      </c>
      <c r="F2730" s="111">
        <f>'update Rate'!F5</f>
        <v>525</v>
      </c>
      <c r="G2730" s="111">
        <f>FLOOR(D2730*F2730,0.01)</f>
        <v>6300</v>
      </c>
      <c r="H2730" s="112"/>
    </row>
    <row r="2731" spans="1:8" ht="18" customHeight="1">
      <c r="B2731" s="1070"/>
      <c r="C2731" s="80" t="s">
        <v>1647</v>
      </c>
      <c r="D2731" s="45">
        <v>16</v>
      </c>
      <c r="E2731" s="58" t="s">
        <v>1707</v>
      </c>
      <c r="F2731" s="65">
        <f>'update Rate'!F4</f>
        <v>375</v>
      </c>
      <c r="G2731" s="65">
        <f>FLOOR(D2731*F2731,0.01)</f>
        <v>6000</v>
      </c>
      <c r="H2731" s="125">
        <f>SUM(G2730+G2731)</f>
        <v>12300</v>
      </c>
    </row>
    <row r="2732" spans="1:8" ht="18" customHeight="1">
      <c r="B2732" s="1069" t="s">
        <v>2330</v>
      </c>
      <c r="C2732" s="57" t="s">
        <v>1650</v>
      </c>
      <c r="D2732" s="48">
        <v>0.53800000000000003</v>
      </c>
      <c r="E2732" s="57" t="s">
        <v>804</v>
      </c>
      <c r="F2732" s="114">
        <f>'update Rate'!F15</f>
        <v>14200</v>
      </c>
      <c r="G2732" s="113">
        <f>FLOOR(D2732*F2732,0.01)</f>
        <v>7639.6</v>
      </c>
      <c r="H2732" s="112"/>
    </row>
    <row r="2733" spans="1:8" ht="17.25">
      <c r="B2733" s="1070"/>
      <c r="C2733" s="58" t="s">
        <v>801</v>
      </c>
      <c r="D2733" s="45">
        <v>1.46</v>
      </c>
      <c r="E2733" s="58" t="s">
        <v>2530</v>
      </c>
      <c r="F2733" s="65">
        <f>'update Rate'!F8</f>
        <v>1659.57</v>
      </c>
      <c r="G2733" s="65">
        <f>FLOOR(D2733*F2733,0.01)</f>
        <v>2422.9700000000003</v>
      </c>
      <c r="H2733" s="127">
        <f>SUM(G2732:G2733)</f>
        <v>10062.57</v>
      </c>
    </row>
    <row r="2734" spans="1:8" ht="16.5">
      <c r="F2734" s="42" t="s">
        <v>1708</v>
      </c>
      <c r="G2734" s="106"/>
      <c r="H2734" s="65">
        <f>SUM(H2733,H2731)</f>
        <v>22362.57</v>
      </c>
    </row>
    <row r="2735" spans="1:8" ht="18.75" customHeight="1">
      <c r="B2735" s="1" t="s">
        <v>1710</v>
      </c>
      <c r="F2735" s="42" t="s">
        <v>1689</v>
      </c>
      <c r="G2735" s="106"/>
      <c r="H2735" s="103">
        <f>FLOOR(H2734*0.15,0.01)</f>
        <v>3354.38</v>
      </c>
    </row>
    <row r="2736" spans="1:8" ht="18" customHeight="1">
      <c r="A2736"/>
      <c r="B2736" s="147">
        <f>+H2736</f>
        <v>25716.95</v>
      </c>
      <c r="C2736" s="28" t="s">
        <v>3384</v>
      </c>
      <c r="D2736" s="103">
        <f>INT(B2736/B2737*100)/100</f>
        <v>257.16000000000003</v>
      </c>
      <c r="E2736" s="1" t="s">
        <v>3385</v>
      </c>
      <c r="F2736" s="42" t="s">
        <v>1711</v>
      </c>
      <c r="G2736" s="106"/>
      <c r="H2736" s="103">
        <f>SUM(H2734:H2735)</f>
        <v>25716.95</v>
      </c>
    </row>
    <row r="2737" spans="1:8" ht="27.75" customHeight="1">
      <c r="B2737" s="121">
        <v>100</v>
      </c>
    </row>
    <row r="2738" spans="1:8" ht="17.25" customHeight="1">
      <c r="B2738" s="121"/>
    </row>
    <row r="2739" spans="1:8" ht="17.25" customHeight="1">
      <c r="B2739" s="121"/>
    </row>
    <row r="2740" spans="1:8" ht="17.25" customHeight="1">
      <c r="B2740" s="121"/>
    </row>
    <row r="2741" spans="1:8">
      <c r="B2741" s="208"/>
      <c r="F2741" s="208"/>
      <c r="G2741" s="208"/>
      <c r="H2741" s="186"/>
    </row>
    <row r="2742" spans="1:8">
      <c r="A2742" s="32"/>
    </row>
    <row r="2743" spans="1:8" ht="18" customHeight="1">
      <c r="A2743" s="282">
        <f>+A2727+1</f>
        <v>163</v>
      </c>
      <c r="B2743" s="1076" t="s">
        <v>132</v>
      </c>
      <c r="C2743" s="1077"/>
      <c r="D2743" s="1077"/>
      <c r="E2743" s="1077"/>
      <c r="F2743" s="1077"/>
      <c r="G2743" s="1077"/>
      <c r="H2743" s="1077"/>
    </row>
    <row r="2744" spans="1:8" ht="18" customHeight="1">
      <c r="A2744" s="1019" t="s">
        <v>4424</v>
      </c>
      <c r="B2744" s="1074" t="s">
        <v>1592</v>
      </c>
      <c r="C2744" s="1075"/>
      <c r="D2744" s="1075"/>
      <c r="E2744" s="1075"/>
      <c r="F2744" s="1075"/>
      <c r="G2744" s="1075"/>
      <c r="H2744" s="1075"/>
    </row>
    <row r="2745" spans="1:8" ht="18" customHeight="1">
      <c r="B2745" s="70" t="s">
        <v>3340</v>
      </c>
      <c r="C2745" s="70" t="s">
        <v>3341</v>
      </c>
      <c r="D2745" s="70" t="s">
        <v>3342</v>
      </c>
      <c r="E2745" s="70" t="s">
        <v>3343</v>
      </c>
      <c r="F2745" s="70" t="s">
        <v>3344</v>
      </c>
      <c r="G2745" s="70" t="s">
        <v>3345</v>
      </c>
      <c r="H2745" s="70" t="s">
        <v>1704</v>
      </c>
    </row>
    <row r="2746" spans="1:8" ht="17.25">
      <c r="B2746" s="1067" t="s">
        <v>1705</v>
      </c>
      <c r="C2746" s="60" t="s">
        <v>610</v>
      </c>
      <c r="D2746" s="43">
        <v>12</v>
      </c>
      <c r="E2746" s="57" t="s">
        <v>1707</v>
      </c>
      <c r="F2746" s="111">
        <f>'update Rate'!F5</f>
        <v>525</v>
      </c>
      <c r="G2746" s="111">
        <f>FLOOR(D2746*F2746,0.01)</f>
        <v>6300</v>
      </c>
      <c r="H2746" s="112"/>
    </row>
    <row r="2747" spans="1:8" ht="17.25">
      <c r="B2747" s="1070"/>
      <c r="C2747" s="80" t="s">
        <v>1647</v>
      </c>
      <c r="D2747" s="45">
        <v>16</v>
      </c>
      <c r="E2747" s="58" t="s">
        <v>1707</v>
      </c>
      <c r="F2747" s="65">
        <f>'update Rate'!F4</f>
        <v>375</v>
      </c>
      <c r="G2747" s="65">
        <f>FLOOR(D2747*F2747,0.01)</f>
        <v>6000</v>
      </c>
      <c r="H2747" s="125">
        <f>SUM(G2746+G2747)</f>
        <v>12300</v>
      </c>
    </row>
    <row r="2748" spans="1:8" ht="17.25">
      <c r="B2748" s="1069" t="s">
        <v>2330</v>
      </c>
      <c r="C2748" s="57" t="s">
        <v>1650</v>
      </c>
      <c r="D2748" s="48">
        <v>0.38200000000000001</v>
      </c>
      <c r="E2748" s="57" t="s">
        <v>804</v>
      </c>
      <c r="F2748" s="114">
        <f>'update Rate'!F15</f>
        <v>14200</v>
      </c>
      <c r="G2748" s="113">
        <f>FLOOR(D2748*F2748,0.01)</f>
        <v>5424.4000000000005</v>
      </c>
      <c r="H2748" s="112"/>
    </row>
    <row r="2749" spans="1:8" ht="18" customHeight="1">
      <c r="B2749" s="1070"/>
      <c r="C2749" s="58" t="s">
        <v>801</v>
      </c>
      <c r="D2749" s="45">
        <v>1.57</v>
      </c>
      <c r="E2749" s="58" t="s">
        <v>2530</v>
      </c>
      <c r="F2749" s="65">
        <f>'update Rate'!F8</f>
        <v>1659.57</v>
      </c>
      <c r="G2749" s="65">
        <f>FLOOR(D2749*F2749,0.01)</f>
        <v>2605.52</v>
      </c>
      <c r="H2749" s="127">
        <f>SUM(G2748:G2749)</f>
        <v>8029.92</v>
      </c>
    </row>
    <row r="2750" spans="1:8" ht="16.5">
      <c r="F2750" s="42" t="s">
        <v>1708</v>
      </c>
      <c r="G2750" s="106"/>
      <c r="H2750" s="65">
        <f>SUM(H2749,H2747)</f>
        <v>20329.919999999998</v>
      </c>
    </row>
    <row r="2751" spans="1:8" ht="21.75" customHeight="1">
      <c r="B2751" s="1" t="s">
        <v>1710</v>
      </c>
      <c r="F2751" s="42" t="s">
        <v>1689</v>
      </c>
      <c r="G2751" s="106"/>
      <c r="H2751" s="103">
        <f>FLOOR(H2750*0.15,0.01)</f>
        <v>3049.48</v>
      </c>
    </row>
    <row r="2752" spans="1:8" ht="18" customHeight="1">
      <c r="A2752"/>
      <c r="B2752" s="147">
        <f>+H2752</f>
        <v>23379.399999999998</v>
      </c>
      <c r="C2752" s="28" t="s">
        <v>3384</v>
      </c>
      <c r="D2752" s="103">
        <f>INT(B2752/B2753*100)/100</f>
        <v>233.79</v>
      </c>
      <c r="E2752" s="1" t="s">
        <v>3385</v>
      </c>
      <c r="F2752" s="42" t="s">
        <v>1711</v>
      </c>
      <c r="G2752" s="106"/>
      <c r="H2752" s="103">
        <f>SUM(H2750:H2751)</f>
        <v>23379.399999999998</v>
      </c>
    </row>
    <row r="2753" spans="1:8" ht="18" customHeight="1">
      <c r="B2753" s="121">
        <v>100</v>
      </c>
    </row>
    <row r="2754" spans="1:8" ht="18" customHeight="1">
      <c r="B2754" s="121"/>
    </row>
    <row r="2755" spans="1:8" ht="19.5">
      <c r="A2755" s="282">
        <f>+A2743+1</f>
        <v>164</v>
      </c>
      <c r="B2755" s="1076" t="s">
        <v>884</v>
      </c>
      <c r="C2755" s="1077"/>
      <c r="D2755" s="1077"/>
      <c r="E2755" s="1077"/>
      <c r="F2755" s="1077"/>
      <c r="G2755" s="1077"/>
      <c r="H2755" s="1077"/>
    </row>
    <row r="2756" spans="1:8" ht="18" customHeight="1">
      <c r="A2756" s="1019" t="s">
        <v>4425</v>
      </c>
      <c r="B2756" s="1074" t="s">
        <v>1592</v>
      </c>
      <c r="C2756" s="1075"/>
      <c r="D2756" s="1075"/>
      <c r="E2756" s="1075"/>
      <c r="F2756" s="1075"/>
      <c r="G2756" s="1075"/>
      <c r="H2756" s="1075"/>
    </row>
    <row r="2757" spans="1:8" ht="31.5">
      <c r="B2757" s="70" t="s">
        <v>3340</v>
      </c>
      <c r="C2757" s="70" t="s">
        <v>3341</v>
      </c>
      <c r="D2757" s="70" t="s">
        <v>3342</v>
      </c>
      <c r="E2757" s="70" t="s">
        <v>3343</v>
      </c>
      <c r="F2757" s="70" t="s">
        <v>3344</v>
      </c>
      <c r="G2757" s="70" t="s">
        <v>3345</v>
      </c>
      <c r="H2757" s="70" t="s">
        <v>1704</v>
      </c>
    </row>
    <row r="2758" spans="1:8" ht="18" customHeight="1">
      <c r="B2758" s="1067" t="s">
        <v>1705</v>
      </c>
      <c r="C2758" s="60" t="s">
        <v>610</v>
      </c>
      <c r="D2758" s="43">
        <v>12</v>
      </c>
      <c r="E2758" s="57" t="s">
        <v>1707</v>
      </c>
      <c r="F2758" s="111">
        <f>'update Rate'!F5</f>
        <v>525</v>
      </c>
      <c r="G2758" s="111">
        <f>FLOOR(D2758*F2758,0.01)</f>
        <v>6300</v>
      </c>
      <c r="H2758" s="112"/>
    </row>
    <row r="2759" spans="1:8" ht="18.75" customHeight="1">
      <c r="B2759" s="1070"/>
      <c r="C2759" s="80" t="s">
        <v>1647</v>
      </c>
      <c r="D2759" s="45">
        <v>16</v>
      </c>
      <c r="E2759" s="58" t="s">
        <v>1707</v>
      </c>
      <c r="F2759" s="65">
        <f>'update Rate'!F4</f>
        <v>375</v>
      </c>
      <c r="G2759" s="65">
        <f>FLOOR(D2759*F2759,0.01)</f>
        <v>6000</v>
      </c>
      <c r="H2759" s="125">
        <f>SUM(G2758+G2759)</f>
        <v>12300</v>
      </c>
    </row>
    <row r="2760" spans="1:8" ht="17.25">
      <c r="B2760" s="1069" t="s">
        <v>2330</v>
      </c>
      <c r="C2760" s="57" t="s">
        <v>2086</v>
      </c>
      <c r="D2760" s="43">
        <v>0.61</v>
      </c>
      <c r="E2760" s="57" t="s">
        <v>2530</v>
      </c>
      <c r="F2760" s="114">
        <f>'update Rate'!F140*640</f>
        <v>19200</v>
      </c>
      <c r="G2760" s="113">
        <f>FLOOR(D2760*F2760,0.01)</f>
        <v>11712</v>
      </c>
      <c r="H2760" s="112"/>
    </row>
    <row r="2761" spans="1:8" ht="17.25">
      <c r="B2761" s="1070"/>
      <c r="C2761" s="58" t="s">
        <v>1114</v>
      </c>
      <c r="D2761" s="45">
        <v>1.22</v>
      </c>
      <c r="E2761" s="58" t="s">
        <v>2530</v>
      </c>
      <c r="F2761" s="65">
        <f>'update Rate'!$F$143</f>
        <v>1121.49</v>
      </c>
      <c r="G2761" s="65">
        <f>FLOOR(D2761*F2761,0.01)</f>
        <v>1368.21</v>
      </c>
      <c r="H2761" s="127">
        <f>SUM(G2760:G2761)</f>
        <v>13080.21</v>
      </c>
    </row>
    <row r="2762" spans="1:8" ht="18" customHeight="1">
      <c r="F2762" s="42" t="s">
        <v>1708</v>
      </c>
      <c r="G2762" s="106"/>
      <c r="H2762" s="65">
        <f>SUM(H2761,H2759)</f>
        <v>25380.21</v>
      </c>
    </row>
    <row r="2763" spans="1:8" ht="18" customHeight="1">
      <c r="B2763" s="1" t="s">
        <v>1710</v>
      </c>
      <c r="F2763" s="42" t="s">
        <v>1689</v>
      </c>
      <c r="G2763" s="106"/>
      <c r="H2763" s="103">
        <f>FLOOR(H2762*0.15,0.01)</f>
        <v>3807.03</v>
      </c>
    </row>
    <row r="2764" spans="1:8" ht="21" customHeight="1">
      <c r="A2764"/>
      <c r="B2764" s="147">
        <f>+H2764</f>
        <v>29187.239999999998</v>
      </c>
      <c r="C2764" s="28" t="s">
        <v>3384</v>
      </c>
      <c r="D2764" s="103">
        <f>INT(B2764/B2765*100)/100</f>
        <v>291.87</v>
      </c>
      <c r="E2764" s="1" t="s">
        <v>3385</v>
      </c>
      <c r="F2764" s="42" t="s">
        <v>1711</v>
      </c>
      <c r="G2764" s="106"/>
      <c r="H2764" s="103">
        <f>SUM(H2762:H2763)</f>
        <v>29187.239999999998</v>
      </c>
    </row>
    <row r="2765" spans="1:8" ht="18" customHeight="1">
      <c r="B2765" s="121">
        <v>100</v>
      </c>
    </row>
    <row r="2766" spans="1:8" ht="18" customHeight="1">
      <c r="B2766" s="121"/>
    </row>
    <row r="2767" spans="1:8" ht="18" customHeight="1">
      <c r="B2767" s="121"/>
    </row>
    <row r="2768" spans="1:8" ht="18" customHeight="1">
      <c r="B2768" s="121"/>
    </row>
    <row r="2769" spans="1:8" ht="18" customHeight="1">
      <c r="B2769" s="121"/>
    </row>
    <row r="2770" spans="1:8" ht="19.5">
      <c r="A2770" s="282">
        <f>A2755+1</f>
        <v>165</v>
      </c>
      <c r="B2770" s="1071" t="s">
        <v>3324</v>
      </c>
      <c r="C2770" s="1089"/>
      <c r="D2770" s="1089"/>
      <c r="E2770" s="1089"/>
      <c r="F2770" s="1089"/>
      <c r="G2770" s="1089"/>
      <c r="H2770" s="1089"/>
    </row>
    <row r="2771" spans="1:8" ht="16.5" customHeight="1">
      <c r="A2771" s="1019" t="s">
        <v>4426</v>
      </c>
      <c r="B2771" s="1074" t="s">
        <v>1592</v>
      </c>
      <c r="C2771" s="1092"/>
      <c r="D2771" s="1092"/>
      <c r="E2771" s="1092"/>
      <c r="F2771" s="1092"/>
      <c r="G2771" s="1092"/>
      <c r="H2771" s="1092"/>
    </row>
    <row r="2772" spans="1:8">
      <c r="B2772" s="3"/>
      <c r="C2772" s="3"/>
      <c r="D2772" s="3"/>
      <c r="E2772" s="3"/>
      <c r="F2772" s="3"/>
      <c r="G2772" s="3"/>
      <c r="H2772" s="3"/>
    </row>
    <row r="2773" spans="1:8" ht="31.5">
      <c r="B2773" s="70" t="s">
        <v>3340</v>
      </c>
      <c r="C2773" s="70" t="s">
        <v>3341</v>
      </c>
      <c r="D2773" s="70" t="s">
        <v>3342</v>
      </c>
      <c r="E2773" s="70" t="s">
        <v>3343</v>
      </c>
      <c r="F2773" s="70" t="s">
        <v>3344</v>
      </c>
      <c r="G2773" s="70" t="s">
        <v>3345</v>
      </c>
      <c r="H2773" s="70" t="s">
        <v>1704</v>
      </c>
    </row>
    <row r="2774" spans="1:8" ht="18" customHeight="1">
      <c r="B2774" s="1067" t="s">
        <v>1705</v>
      </c>
      <c r="C2774" s="60" t="s">
        <v>610</v>
      </c>
      <c r="D2774" s="43">
        <v>14</v>
      </c>
      <c r="E2774" s="57" t="s">
        <v>1707</v>
      </c>
      <c r="F2774" s="111">
        <f>$F$2758</f>
        <v>525</v>
      </c>
      <c r="G2774" s="111">
        <f>FLOOR(D2774*F2774,0.01)</f>
        <v>7350</v>
      </c>
      <c r="H2774" s="112"/>
    </row>
    <row r="2775" spans="1:8" ht="18" customHeight="1">
      <c r="B2775" s="1070"/>
      <c r="C2775" s="80" t="s">
        <v>1647</v>
      </c>
      <c r="D2775" s="45">
        <v>19</v>
      </c>
      <c r="E2775" s="58" t="s">
        <v>1707</v>
      </c>
      <c r="F2775" s="65">
        <f>$F$2759</f>
        <v>375</v>
      </c>
      <c r="G2775" s="65">
        <f>FLOOR(D2775*F2775,0.01)</f>
        <v>7125</v>
      </c>
      <c r="H2775" s="125">
        <f>SUM(G2774+G2775)</f>
        <v>14475</v>
      </c>
    </row>
    <row r="2776" spans="1:8" ht="17.25">
      <c r="B2776" s="1069" t="s">
        <v>2330</v>
      </c>
      <c r="C2776" s="57" t="s">
        <v>2086</v>
      </c>
      <c r="D2776" s="43">
        <v>0.92</v>
      </c>
      <c r="E2776" s="57" t="s">
        <v>2530</v>
      </c>
      <c r="F2776" s="114">
        <f>$F$2760</f>
        <v>19200</v>
      </c>
      <c r="G2776" s="113">
        <f>FLOOR(D2776*F2776,0.01)</f>
        <v>17664</v>
      </c>
      <c r="H2776" s="112"/>
    </row>
    <row r="2777" spans="1:8" ht="17.25">
      <c r="B2777" s="1070"/>
      <c r="C2777" s="58" t="s">
        <v>1114</v>
      </c>
      <c r="D2777" s="45">
        <v>1.83</v>
      </c>
      <c r="E2777" s="58" t="s">
        <v>2530</v>
      </c>
      <c r="F2777" s="65">
        <f>$F$2761</f>
        <v>1121.49</v>
      </c>
      <c r="G2777" s="65">
        <f>FLOOR(D2777*F2777,0.01)</f>
        <v>2052.3200000000002</v>
      </c>
      <c r="H2777" s="127">
        <f>SUM(G2776:G2777)</f>
        <v>19716.32</v>
      </c>
    </row>
    <row r="2778" spans="1:8" ht="18" customHeight="1">
      <c r="F2778" s="42" t="s">
        <v>1708</v>
      </c>
      <c r="G2778" s="106"/>
      <c r="H2778" s="65">
        <f>SUM(H2777,H2775)</f>
        <v>34191.32</v>
      </c>
    </row>
    <row r="2779" spans="1:8" ht="18" customHeight="1">
      <c r="B2779" s="1" t="s">
        <v>1710</v>
      </c>
      <c r="F2779" s="42" t="s">
        <v>1689</v>
      </c>
      <c r="G2779" s="106"/>
      <c r="H2779" s="103">
        <f>FLOOR(H2778*0.15,0.01)</f>
        <v>5128.6900000000005</v>
      </c>
    </row>
    <row r="2780" spans="1:8" ht="15.75" customHeight="1">
      <c r="A2780"/>
      <c r="B2780" s="147">
        <f>+H2780</f>
        <v>39320.01</v>
      </c>
      <c r="C2780" s="28" t="s">
        <v>3384</v>
      </c>
      <c r="D2780" s="103">
        <f>INT(B2780/B2781*100)/100</f>
        <v>393.2</v>
      </c>
      <c r="E2780" s="1" t="s">
        <v>3385</v>
      </c>
      <c r="F2780" s="42" t="s">
        <v>1711</v>
      </c>
      <c r="G2780" s="106"/>
      <c r="H2780" s="103">
        <f>SUM(H2778:H2779)</f>
        <v>39320.01</v>
      </c>
    </row>
    <row r="2781" spans="1:8" ht="18.75" customHeight="1">
      <c r="B2781" s="121">
        <v>100</v>
      </c>
    </row>
    <row r="2782" spans="1:8" ht="18.75" customHeight="1">
      <c r="B2782" s="121"/>
    </row>
    <row r="2783" spans="1:8" ht="18.75" customHeight="1">
      <c r="B2783" s="121"/>
    </row>
    <row r="2784" spans="1:8">
      <c r="B2784" s="121"/>
    </row>
    <row r="2785" spans="1:8" ht="18" customHeight="1">
      <c r="B2785" s="121"/>
    </row>
    <row r="2786" spans="1:8" ht="19.5">
      <c r="A2786" s="282">
        <f>A2770+1</f>
        <v>166</v>
      </c>
      <c r="B2786" s="1071" t="s">
        <v>1109</v>
      </c>
      <c r="C2786" s="1072"/>
      <c r="D2786" s="1072"/>
      <c r="E2786" s="1072"/>
      <c r="F2786" s="1072"/>
      <c r="G2786" s="1072"/>
      <c r="H2786" s="1072"/>
    </row>
    <row r="2787" spans="1:8">
      <c r="A2787" s="1019" t="s">
        <v>4426</v>
      </c>
      <c r="B2787" s="1074" t="s">
        <v>1592</v>
      </c>
      <c r="C2787" s="1075"/>
      <c r="D2787" s="1075"/>
      <c r="E2787" s="1075"/>
      <c r="F2787" s="1075"/>
      <c r="G2787" s="1075"/>
      <c r="H2787" s="1075"/>
    </row>
    <row r="2788" spans="1:8" ht="31.5">
      <c r="B2788" s="70" t="s">
        <v>3340</v>
      </c>
      <c r="C2788" s="70" t="s">
        <v>3341</v>
      </c>
      <c r="D2788" s="70" t="s">
        <v>3342</v>
      </c>
      <c r="E2788" s="70" t="s">
        <v>3343</v>
      </c>
      <c r="F2788" s="70" t="s">
        <v>3344</v>
      </c>
      <c r="G2788" s="70" t="s">
        <v>3345</v>
      </c>
      <c r="H2788" s="70" t="s">
        <v>1704</v>
      </c>
    </row>
    <row r="2789" spans="1:8" ht="18" customHeight="1">
      <c r="B2789" s="1067" t="s">
        <v>1705</v>
      </c>
      <c r="C2789" s="60" t="s">
        <v>610</v>
      </c>
      <c r="D2789" s="43">
        <v>14</v>
      </c>
      <c r="E2789" s="57" t="s">
        <v>1707</v>
      </c>
      <c r="F2789" s="111">
        <f>'update Rate'!F5</f>
        <v>525</v>
      </c>
      <c r="G2789" s="111">
        <f>FLOOR(D2789*F2789,0.01)</f>
        <v>7350</v>
      </c>
      <c r="H2789" s="112"/>
    </row>
    <row r="2790" spans="1:8" ht="17.25">
      <c r="B2790" s="1070"/>
      <c r="C2790" s="80" t="s">
        <v>1647</v>
      </c>
      <c r="D2790" s="45">
        <v>19</v>
      </c>
      <c r="E2790" s="58" t="s">
        <v>1707</v>
      </c>
      <c r="F2790" s="65">
        <f>'update Rate'!F4</f>
        <v>375</v>
      </c>
      <c r="G2790" s="65">
        <f>FLOOR(D2790*F2790,0.01)</f>
        <v>7125</v>
      </c>
      <c r="H2790" s="125">
        <f>SUM(G2789+G2790)</f>
        <v>14475</v>
      </c>
    </row>
    <row r="2791" spans="1:8" ht="16.5" customHeight="1">
      <c r="B2791" s="1069" t="s">
        <v>2330</v>
      </c>
      <c r="C2791" s="57" t="s">
        <v>1650</v>
      </c>
      <c r="D2791" s="43">
        <v>0.96</v>
      </c>
      <c r="E2791" s="57" t="s">
        <v>804</v>
      </c>
      <c r="F2791" s="114">
        <f>'update Rate'!F15</f>
        <v>14200</v>
      </c>
      <c r="G2791" s="113">
        <f>FLOOR(D2791*F2791,0.01)</f>
        <v>13632</v>
      </c>
      <c r="H2791" s="112"/>
    </row>
    <row r="2792" spans="1:8" ht="18" customHeight="1">
      <c r="B2792" s="1070"/>
      <c r="C2792" s="58" t="s">
        <v>3656</v>
      </c>
      <c r="D2792" s="45">
        <v>1.95</v>
      </c>
      <c r="E2792" s="58" t="s">
        <v>2530</v>
      </c>
      <c r="F2792" s="65">
        <f>'update Rate'!F8</f>
        <v>1659.57</v>
      </c>
      <c r="G2792" s="65">
        <f>FLOOR(D2792*F2792,0.01)</f>
        <v>3236.16</v>
      </c>
      <c r="H2792" s="127">
        <f>SUM(G2791:G2792)</f>
        <v>16868.16</v>
      </c>
    </row>
    <row r="2793" spans="1:8" ht="18" customHeight="1">
      <c r="F2793" s="42" t="s">
        <v>1708</v>
      </c>
      <c r="G2793" s="106"/>
      <c r="H2793" s="65">
        <f>SUM(H2792,H2790)</f>
        <v>31343.16</v>
      </c>
    </row>
    <row r="2794" spans="1:8" ht="18" customHeight="1">
      <c r="B2794" s="1" t="s">
        <v>1710</v>
      </c>
      <c r="F2794" s="42" t="s">
        <v>1689</v>
      </c>
      <c r="G2794" s="106"/>
      <c r="H2794" s="103">
        <f>FLOOR(H2793*0.15,0.01)</f>
        <v>4701.47</v>
      </c>
    </row>
    <row r="2795" spans="1:8" ht="18" customHeight="1">
      <c r="A2795"/>
      <c r="B2795" s="147">
        <f>+H2795</f>
        <v>36044.629999999997</v>
      </c>
      <c r="C2795" s="28" t="s">
        <v>3384</v>
      </c>
      <c r="D2795" s="103">
        <f>INT(B2795/B2796*100)/100</f>
        <v>360.44</v>
      </c>
      <c r="E2795" s="1" t="s">
        <v>3385</v>
      </c>
      <c r="F2795" s="42" t="s">
        <v>1711</v>
      </c>
      <c r="G2795" s="106"/>
      <c r="H2795" s="103">
        <f>SUM(H2793:H2794)</f>
        <v>36044.629999999997</v>
      </c>
    </row>
    <row r="2796" spans="1:8" ht="21" customHeight="1">
      <c r="B2796" s="121">
        <v>100</v>
      </c>
    </row>
    <row r="2797" spans="1:8" ht="19.5">
      <c r="A2797" s="282">
        <f>+A2786+1</f>
        <v>167</v>
      </c>
      <c r="B2797" s="1071" t="s">
        <v>3376</v>
      </c>
      <c r="C2797" s="1072"/>
      <c r="D2797" s="1072"/>
      <c r="E2797" s="1072"/>
      <c r="F2797" s="1072"/>
      <c r="G2797" s="1072"/>
      <c r="H2797" s="1072"/>
    </row>
    <row r="2798" spans="1:8" ht="18" customHeight="1">
      <c r="A2798" s="1019" t="s">
        <v>4426</v>
      </c>
      <c r="B2798" s="1074" t="s">
        <v>1592</v>
      </c>
      <c r="C2798" s="1075"/>
      <c r="D2798" s="1075"/>
      <c r="E2798" s="1075"/>
      <c r="F2798" s="1075"/>
      <c r="G2798" s="1075"/>
      <c r="H2798" s="1075"/>
    </row>
    <row r="2799" spans="1:8" ht="31.5">
      <c r="B2799" s="70" t="s">
        <v>3340</v>
      </c>
      <c r="C2799" s="70" t="s">
        <v>3341</v>
      </c>
      <c r="D2799" s="70" t="s">
        <v>3342</v>
      </c>
      <c r="E2799" s="70" t="s">
        <v>3343</v>
      </c>
      <c r="F2799" s="70" t="s">
        <v>3344</v>
      </c>
      <c r="G2799" s="70" t="s">
        <v>3345</v>
      </c>
      <c r="H2799" s="70" t="s">
        <v>1704</v>
      </c>
    </row>
    <row r="2800" spans="1:8" ht="17.25">
      <c r="B2800" s="1067" t="s">
        <v>1705</v>
      </c>
      <c r="C2800" s="60" t="s">
        <v>610</v>
      </c>
      <c r="D2800" s="43">
        <v>14</v>
      </c>
      <c r="E2800" s="57" t="s">
        <v>1707</v>
      </c>
      <c r="F2800" s="111">
        <f>'update Rate'!F5</f>
        <v>525</v>
      </c>
      <c r="G2800" s="111">
        <f>FLOOR(D2800*F2800,0.01)</f>
        <v>7350</v>
      </c>
      <c r="H2800" s="112"/>
    </row>
    <row r="2801" spans="1:8" ht="18" customHeight="1">
      <c r="B2801" s="1070"/>
      <c r="C2801" s="80" t="s">
        <v>1647</v>
      </c>
      <c r="D2801" s="45">
        <v>19</v>
      </c>
      <c r="E2801" s="58" t="s">
        <v>1707</v>
      </c>
      <c r="F2801" s="65">
        <f>'update Rate'!F4</f>
        <v>375</v>
      </c>
      <c r="G2801" s="65">
        <f>FLOOR(D2801*F2801,0.01)</f>
        <v>7125</v>
      </c>
      <c r="H2801" s="125">
        <f>SUM(G2800+G2801)</f>
        <v>14475</v>
      </c>
    </row>
    <row r="2802" spans="1:8" ht="18" customHeight="1">
      <c r="B2802" s="1069" t="s">
        <v>2330</v>
      </c>
      <c r="C2802" s="57" t="s">
        <v>1650</v>
      </c>
      <c r="D2802" s="43">
        <v>0.81</v>
      </c>
      <c r="E2802" s="57" t="s">
        <v>804</v>
      </c>
      <c r="F2802" s="114">
        <f>'update Rate'!F15</f>
        <v>14200</v>
      </c>
      <c r="G2802" s="113">
        <f>FLOOR(D2802*F2802,0.01)</f>
        <v>11502</v>
      </c>
      <c r="H2802" s="112"/>
    </row>
    <row r="2803" spans="1:8" ht="17.25">
      <c r="B2803" s="1070"/>
      <c r="C2803" s="58" t="s">
        <v>3656</v>
      </c>
      <c r="D2803" s="45">
        <v>2.2000000000000002</v>
      </c>
      <c r="E2803" s="58" t="s">
        <v>2530</v>
      </c>
      <c r="F2803" s="65">
        <f>'update Rate'!F8</f>
        <v>1659.57</v>
      </c>
      <c r="G2803" s="65">
        <f>FLOOR(D2803*F2803,0.01)</f>
        <v>3651.05</v>
      </c>
      <c r="H2803" s="127">
        <f>SUM(G2802:G2803)</f>
        <v>15153.05</v>
      </c>
    </row>
    <row r="2804" spans="1:8" ht="24.75" customHeight="1">
      <c r="F2804" s="42" t="s">
        <v>1708</v>
      </c>
      <c r="G2804" s="106"/>
      <c r="H2804" s="65">
        <f>SUM(H2803,H2801)</f>
        <v>29628.05</v>
      </c>
    </row>
    <row r="2805" spans="1:8" ht="18" customHeight="1">
      <c r="B2805" s="1" t="s">
        <v>1710</v>
      </c>
      <c r="F2805" s="42" t="s">
        <v>1689</v>
      </c>
      <c r="G2805" s="106"/>
      <c r="H2805" s="103">
        <f>FLOOR(H2804*0.15,0.01)</f>
        <v>4444.2</v>
      </c>
    </row>
    <row r="2806" spans="1:8" ht="18" customHeight="1">
      <c r="A2806"/>
      <c r="B2806" s="147">
        <f>+H2806</f>
        <v>34072.25</v>
      </c>
      <c r="C2806" s="28" t="s">
        <v>3384</v>
      </c>
      <c r="D2806" s="103">
        <f>INT(B2806/B2807*100)/100</f>
        <v>340.72</v>
      </c>
      <c r="E2806" s="1" t="s">
        <v>3385</v>
      </c>
      <c r="F2806" s="42" t="s">
        <v>1711</v>
      </c>
      <c r="G2806" s="106"/>
      <c r="H2806" s="103">
        <f>SUM(H2804:H2805)</f>
        <v>34072.25</v>
      </c>
    </row>
    <row r="2807" spans="1:8" ht="18" customHeight="1">
      <c r="B2807" s="121">
        <v>100</v>
      </c>
    </row>
    <row r="2808" spans="1:8" ht="18" customHeight="1">
      <c r="B2808" s="121"/>
    </row>
    <row r="2809" spans="1:8" ht="18" customHeight="1">
      <c r="B2809" s="121"/>
    </row>
    <row r="2810" spans="1:8" ht="18" customHeight="1">
      <c r="B2810" s="121"/>
    </row>
    <row r="2811" spans="1:8" ht="18" customHeight="1">
      <c r="B2811" s="121"/>
    </row>
    <row r="2812" spans="1:8">
      <c r="A2812" s="33"/>
    </row>
    <row r="2813" spans="1:8" ht="19.5">
      <c r="A2813" s="282">
        <f>+A2797+1</f>
        <v>168</v>
      </c>
      <c r="B2813" s="1071" t="s">
        <v>3377</v>
      </c>
      <c r="C2813" s="1072"/>
      <c r="D2813" s="1072"/>
      <c r="E2813" s="1072"/>
      <c r="F2813" s="1072"/>
      <c r="G2813" s="1072"/>
      <c r="H2813" s="1072"/>
    </row>
    <row r="2814" spans="1:8" ht="18" customHeight="1">
      <c r="A2814" s="1019" t="s">
        <v>4426</v>
      </c>
      <c r="B2814" s="1074" t="s">
        <v>1592</v>
      </c>
      <c r="C2814" s="1075"/>
      <c r="D2814" s="1075"/>
      <c r="E2814" s="1075"/>
      <c r="F2814" s="1075"/>
      <c r="G2814" s="1075"/>
      <c r="H2814" s="1075"/>
    </row>
    <row r="2815" spans="1:8" ht="31.5">
      <c r="B2815" s="70" t="s">
        <v>3340</v>
      </c>
      <c r="C2815" s="70" t="s">
        <v>3341</v>
      </c>
      <c r="D2815" s="70" t="s">
        <v>3342</v>
      </c>
      <c r="E2815" s="70" t="s">
        <v>3343</v>
      </c>
      <c r="F2815" s="70" t="s">
        <v>3344</v>
      </c>
      <c r="G2815" s="70" t="s">
        <v>3345</v>
      </c>
      <c r="H2815" s="70" t="s">
        <v>1704</v>
      </c>
    </row>
    <row r="2816" spans="1:8" ht="15.75" customHeight="1">
      <c r="B2816" s="1067" t="s">
        <v>1705</v>
      </c>
      <c r="C2816" s="60" t="s">
        <v>610</v>
      </c>
      <c r="D2816" s="43">
        <v>14</v>
      </c>
      <c r="E2816" s="57" t="s">
        <v>1707</v>
      </c>
      <c r="F2816" s="111">
        <f>'update Rate'!F5</f>
        <v>525</v>
      </c>
      <c r="G2816" s="111">
        <f>FLOOR(D2816*F2816,0.01)</f>
        <v>7350</v>
      </c>
      <c r="H2816" s="112"/>
    </row>
    <row r="2817" spans="1:8" ht="15.75" customHeight="1">
      <c r="B2817" s="1070"/>
      <c r="C2817" s="80" t="s">
        <v>1647</v>
      </c>
      <c r="D2817" s="45">
        <v>19</v>
      </c>
      <c r="E2817" s="58" t="s">
        <v>1707</v>
      </c>
      <c r="F2817" s="65">
        <f>'update Rate'!F4</f>
        <v>375</v>
      </c>
      <c r="G2817" s="65">
        <f>FLOOR(D2817*F2817,0.01)</f>
        <v>7125</v>
      </c>
      <c r="H2817" s="125">
        <f>SUM(G2816+G2817)</f>
        <v>14475</v>
      </c>
    </row>
    <row r="2818" spans="1:8" ht="17.25">
      <c r="B2818" s="1069" t="s">
        <v>2330</v>
      </c>
      <c r="C2818" s="57" t="s">
        <v>1650</v>
      </c>
      <c r="D2818" s="43">
        <v>0.56999999999999995</v>
      </c>
      <c r="E2818" s="81" t="s">
        <v>804</v>
      </c>
      <c r="F2818" s="114">
        <f>'update Rate'!F15</f>
        <v>14200</v>
      </c>
      <c r="G2818" s="113">
        <f>FLOOR(D2818*F2818,0.01)</f>
        <v>8094</v>
      </c>
      <c r="H2818" s="112"/>
    </row>
    <row r="2819" spans="1:8" ht="18" customHeight="1">
      <c r="B2819" s="1070"/>
      <c r="C2819" s="58" t="s">
        <v>3656</v>
      </c>
      <c r="D2819" s="45">
        <v>2.35</v>
      </c>
      <c r="E2819" s="79" t="s">
        <v>2530</v>
      </c>
      <c r="F2819" s="65">
        <f>'update Rate'!F8</f>
        <v>1659.57</v>
      </c>
      <c r="G2819" s="65">
        <f>FLOOR(D2819*F2819,0.01)</f>
        <v>3899.98</v>
      </c>
      <c r="H2819" s="127">
        <f>SUM(G2818:G2819)</f>
        <v>11993.98</v>
      </c>
    </row>
    <row r="2820" spans="1:8" ht="18" customHeight="1">
      <c r="F2820" s="42" t="s">
        <v>1708</v>
      </c>
      <c r="G2820" s="106"/>
      <c r="H2820" s="65">
        <f>SUM(H2819,H2817)</f>
        <v>26468.98</v>
      </c>
    </row>
    <row r="2821" spans="1:8" ht="18" customHeight="1">
      <c r="B2821" s="1" t="s">
        <v>1710</v>
      </c>
      <c r="F2821" s="42" t="s">
        <v>1689</v>
      </c>
      <c r="G2821" s="106"/>
      <c r="H2821" s="103">
        <f>FLOOR(H2820*0.15,0.01)</f>
        <v>3970.34</v>
      </c>
    </row>
    <row r="2822" spans="1:8" ht="18" customHeight="1">
      <c r="A2822"/>
      <c r="B2822" s="147">
        <f>+H2822</f>
        <v>30439.32</v>
      </c>
      <c r="C2822" s="28" t="s">
        <v>3384</v>
      </c>
      <c r="D2822" s="103">
        <f>INT(B2822/B2823*100)/100</f>
        <v>304.39</v>
      </c>
      <c r="E2822" s="1" t="s">
        <v>3385</v>
      </c>
      <c r="F2822" s="42" t="s">
        <v>1711</v>
      </c>
      <c r="G2822" s="106"/>
      <c r="H2822" s="103">
        <f>SUM(H2820:H2821)</f>
        <v>30439.32</v>
      </c>
    </row>
    <row r="2823" spans="1:8" ht="18" customHeight="1">
      <c r="B2823" s="121">
        <v>100</v>
      </c>
    </row>
    <row r="2824" spans="1:8" ht="18" customHeight="1">
      <c r="B2824" s="121"/>
    </row>
    <row r="2825" spans="1:8" ht="18" customHeight="1">
      <c r="B2825" s="121"/>
    </row>
    <row r="2826" spans="1:8" ht="18" customHeight="1">
      <c r="B2826" s="121"/>
    </row>
    <row r="2827" spans="1:8" ht="18" customHeight="1">
      <c r="B2827" s="121"/>
    </row>
    <row r="2828" spans="1:8" ht="19.5">
      <c r="A2828" s="32"/>
      <c r="B2828" s="1072" t="s">
        <v>4428</v>
      </c>
      <c r="C2828" s="1072"/>
      <c r="D2828" s="1072"/>
      <c r="E2828" s="1072"/>
      <c r="F2828" s="1072"/>
      <c r="G2828" s="1072"/>
      <c r="H2828" s="1072"/>
    </row>
    <row r="2829" spans="1:8" ht="19.5">
      <c r="A2829" s="282">
        <f>+A2813+1</f>
        <v>169</v>
      </c>
      <c r="B2829" s="1076" t="s">
        <v>1229</v>
      </c>
      <c r="C2829" s="1077"/>
      <c r="D2829" s="1077"/>
      <c r="E2829" s="1077"/>
      <c r="F2829" s="1077"/>
      <c r="G2829" s="1077"/>
      <c r="H2829" s="1077"/>
    </row>
    <row r="2830" spans="1:8" ht="18" customHeight="1">
      <c r="A2830" s="1019" t="s">
        <v>4427</v>
      </c>
      <c r="B2830" s="1074" t="s">
        <v>1592</v>
      </c>
      <c r="C2830" s="1075"/>
      <c r="D2830" s="1075"/>
      <c r="E2830" s="1075"/>
      <c r="F2830" s="1075"/>
      <c r="G2830" s="1075"/>
      <c r="H2830" s="1075"/>
    </row>
    <row r="2831" spans="1:8" ht="31.5">
      <c r="B2831" s="70" t="s">
        <v>3340</v>
      </c>
      <c r="C2831" s="70" t="s">
        <v>3341</v>
      </c>
      <c r="D2831" s="70" t="s">
        <v>3342</v>
      </c>
      <c r="E2831" s="70" t="s">
        <v>3343</v>
      </c>
      <c r="F2831" s="70" t="s">
        <v>3344</v>
      </c>
      <c r="G2831" s="70" t="s">
        <v>3345</v>
      </c>
      <c r="H2831" s="70" t="s">
        <v>1704</v>
      </c>
    </row>
    <row r="2832" spans="1:8" ht="17.25">
      <c r="B2832" s="1067" t="s">
        <v>1705</v>
      </c>
      <c r="C2832" s="60" t="s">
        <v>610</v>
      </c>
      <c r="D2832" s="43">
        <v>20</v>
      </c>
      <c r="E2832" s="57" t="s">
        <v>1707</v>
      </c>
      <c r="F2832" s="111">
        <f>'update Rate'!F5</f>
        <v>525</v>
      </c>
      <c r="G2832" s="111">
        <f>FLOOR(D2832*F2832,0.01)</f>
        <v>10500</v>
      </c>
      <c r="H2832" s="112"/>
    </row>
    <row r="2833" spans="1:8" ht="17.25" customHeight="1">
      <c r="B2833" s="1070"/>
      <c r="C2833" s="80" t="s">
        <v>1647</v>
      </c>
      <c r="D2833" s="45">
        <v>25</v>
      </c>
      <c r="E2833" s="58" t="s">
        <v>1707</v>
      </c>
      <c r="F2833" s="65">
        <f>'update Rate'!F4</f>
        <v>375</v>
      </c>
      <c r="G2833" s="65">
        <f>FLOOR(D2833*F2833,0.01)</f>
        <v>9375</v>
      </c>
      <c r="H2833" s="127">
        <f>SUM(G2832+G2833)</f>
        <v>19875</v>
      </c>
    </row>
    <row r="2834" spans="1:8" ht="17.25">
      <c r="B2834" s="1069" t="s">
        <v>2330</v>
      </c>
      <c r="C2834" s="57" t="s">
        <v>2090</v>
      </c>
      <c r="D2834" s="43">
        <v>3</v>
      </c>
      <c r="E2834" s="57" t="s">
        <v>2530</v>
      </c>
      <c r="F2834" s="114">
        <f>'update Rate'!F17</f>
        <v>220</v>
      </c>
      <c r="G2834" s="114">
        <f>FLOOR(D2834*F2834,0.01)</f>
        <v>660</v>
      </c>
      <c r="H2834" s="112"/>
    </row>
    <row r="2835" spans="1:8" ht="18" customHeight="1">
      <c r="B2835" s="1095"/>
      <c r="C2835" s="55" t="s">
        <v>1230</v>
      </c>
      <c r="D2835" s="44">
        <v>100</v>
      </c>
      <c r="E2835" s="55" t="s">
        <v>3096</v>
      </c>
      <c r="F2835" s="113">
        <f>'update Rate'!F144</f>
        <v>4.5</v>
      </c>
      <c r="G2835" s="113">
        <f>FLOOR(D2835*F2835,0.01)</f>
        <v>450</v>
      </c>
      <c r="H2835" s="125"/>
    </row>
    <row r="2836" spans="1:8" ht="18" customHeight="1">
      <c r="B2836" s="1070"/>
      <c r="C2836" s="58" t="s">
        <v>1231</v>
      </c>
      <c r="D2836" s="45">
        <v>120</v>
      </c>
      <c r="E2836" s="58" t="s">
        <v>3096</v>
      </c>
      <c r="F2836" s="65">
        <f>'update Rate'!F145</f>
        <v>4</v>
      </c>
      <c r="G2836" s="65">
        <f>FLOOR(D2836*F2836,0.01)</f>
        <v>480</v>
      </c>
      <c r="H2836" s="127">
        <f>SUM(G2834:G2836)</f>
        <v>1590</v>
      </c>
    </row>
    <row r="2837" spans="1:8" ht="18" customHeight="1">
      <c r="F2837" s="42" t="s">
        <v>1708</v>
      </c>
      <c r="G2837" s="138"/>
      <c r="H2837" s="65">
        <f>SUM(H2833:H2836)</f>
        <v>21465</v>
      </c>
    </row>
    <row r="2838" spans="1:8" ht="18" customHeight="1">
      <c r="B2838" s="1" t="s">
        <v>1710</v>
      </c>
      <c r="F2838" s="42" t="s">
        <v>1689</v>
      </c>
      <c r="G2838" s="138"/>
      <c r="H2838" s="103">
        <f>FLOOR(H2837*0.15,0.01)</f>
        <v>3219.75</v>
      </c>
    </row>
    <row r="2839" spans="1:8" ht="16.5">
      <c r="A2839"/>
      <c r="B2839" s="147">
        <f>+H2839</f>
        <v>24684.75</v>
      </c>
      <c r="C2839" s="28" t="s">
        <v>3384</v>
      </c>
      <c r="D2839" s="103">
        <f>INT(B2839/B2840*100)/100</f>
        <v>246.84</v>
      </c>
      <c r="E2839" s="1" t="s">
        <v>3385</v>
      </c>
      <c r="F2839" s="42" t="s">
        <v>1711</v>
      </c>
      <c r="G2839" s="138"/>
      <c r="H2839" s="103">
        <f>SUM(H2837:H2838)</f>
        <v>24684.75</v>
      </c>
    </row>
    <row r="2840" spans="1:8">
      <c r="B2840" s="121">
        <v>100</v>
      </c>
    </row>
    <row r="2841" spans="1:8" ht="18" customHeight="1">
      <c r="B2841" s="121"/>
    </row>
    <row r="2842" spans="1:8" ht="18" customHeight="1">
      <c r="A2842" s="32"/>
      <c r="B2842" s="1077" t="s">
        <v>1232</v>
      </c>
      <c r="C2842" s="1077"/>
      <c r="D2842" s="1077"/>
      <c r="E2842" s="1077"/>
      <c r="F2842" s="1077"/>
      <c r="G2842" s="1077"/>
      <c r="H2842" s="1077"/>
    </row>
    <row r="2843" spans="1:8" ht="16.5" customHeight="1">
      <c r="A2843" s="282">
        <f>+A2829+1</f>
        <v>170</v>
      </c>
      <c r="B2843" s="1076" t="s">
        <v>1233</v>
      </c>
      <c r="C2843" s="1077"/>
      <c r="D2843" s="1077"/>
      <c r="E2843" s="1077"/>
      <c r="F2843" s="1077"/>
      <c r="G2843" s="1077"/>
      <c r="H2843" s="1077"/>
    </row>
    <row r="2844" spans="1:8">
      <c r="A2844" s="1019" t="s">
        <v>4429</v>
      </c>
      <c r="B2844" s="1074" t="s">
        <v>1592</v>
      </c>
      <c r="C2844" s="1075"/>
      <c r="D2844" s="1075"/>
      <c r="E2844" s="1075"/>
      <c r="F2844" s="1075"/>
      <c r="G2844" s="1075"/>
      <c r="H2844" s="1075"/>
    </row>
    <row r="2845" spans="1:8" ht="31.5">
      <c r="B2845" s="70" t="s">
        <v>3340</v>
      </c>
      <c r="C2845" s="70" t="s">
        <v>3341</v>
      </c>
      <c r="D2845" s="70" t="s">
        <v>3342</v>
      </c>
      <c r="E2845" s="70" t="s">
        <v>3343</v>
      </c>
      <c r="F2845" s="70" t="s">
        <v>3344</v>
      </c>
      <c r="G2845" s="70" t="s">
        <v>3345</v>
      </c>
      <c r="H2845" s="70" t="s">
        <v>1704</v>
      </c>
    </row>
    <row r="2846" spans="1:8" ht="17.25">
      <c r="B2846" s="1067" t="s">
        <v>1705</v>
      </c>
      <c r="C2846" s="60" t="s">
        <v>610</v>
      </c>
      <c r="D2846" s="43">
        <v>15</v>
      </c>
      <c r="E2846" s="57" t="s">
        <v>1707</v>
      </c>
      <c r="F2846" s="111">
        <f>'update Rate'!F5</f>
        <v>525</v>
      </c>
      <c r="G2846" s="111">
        <f>FLOOR(D2846*F2846,0.01)</f>
        <v>7875</v>
      </c>
      <c r="H2846" s="112"/>
    </row>
    <row r="2847" spans="1:8" ht="15.75" customHeight="1">
      <c r="B2847" s="1070"/>
      <c r="C2847" s="80" t="s">
        <v>1647</v>
      </c>
      <c r="D2847" s="45">
        <v>20</v>
      </c>
      <c r="E2847" s="58" t="s">
        <v>1707</v>
      </c>
      <c r="F2847" s="65">
        <f>'update Rate'!F4</f>
        <v>375</v>
      </c>
      <c r="G2847" s="65">
        <f>FLOOR(D2847*F2847,0.01)</f>
        <v>7500</v>
      </c>
      <c r="H2847" s="127">
        <f>SUM(G2846+G2847)</f>
        <v>15375</v>
      </c>
    </row>
    <row r="2848" spans="1:8" ht="17.25">
      <c r="B2848" s="1069" t="s">
        <v>2330</v>
      </c>
      <c r="C2848" s="57" t="s">
        <v>2090</v>
      </c>
      <c r="D2848" s="43">
        <v>1.5</v>
      </c>
      <c r="E2848" s="57" t="s">
        <v>2530</v>
      </c>
      <c r="F2848" s="114">
        <f>'update Rate'!F17</f>
        <v>220</v>
      </c>
      <c r="G2848" s="114">
        <f>FLOOR(D2848*F2848,0.01)</f>
        <v>330</v>
      </c>
      <c r="H2848" s="112"/>
    </row>
    <row r="2849" spans="1:8" ht="18" customHeight="1">
      <c r="B2849" s="1095"/>
      <c r="C2849" s="55" t="s">
        <v>1230</v>
      </c>
      <c r="D2849" s="44">
        <v>50</v>
      </c>
      <c r="E2849" s="55" t="s">
        <v>3096</v>
      </c>
      <c r="F2849" s="113">
        <f>'update Rate'!F144</f>
        <v>4.5</v>
      </c>
      <c r="G2849" s="113">
        <f>FLOOR(D2849*F2849,0.01)</f>
        <v>225</v>
      </c>
      <c r="H2849" s="125"/>
    </row>
    <row r="2850" spans="1:8" ht="17.25">
      <c r="B2850" s="1070"/>
      <c r="C2850" s="58" t="s">
        <v>1231</v>
      </c>
      <c r="D2850" s="45">
        <v>60</v>
      </c>
      <c r="E2850" s="58" t="s">
        <v>3096</v>
      </c>
      <c r="F2850" s="65">
        <f>'update Rate'!F145</f>
        <v>4</v>
      </c>
      <c r="G2850" s="65">
        <f>FLOOR(D2850*F2850,0.01)</f>
        <v>240</v>
      </c>
      <c r="H2850" s="127">
        <f>SUM(G2848:G2850)</f>
        <v>795</v>
      </c>
    </row>
    <row r="2851" spans="1:8" ht="18" customHeight="1">
      <c r="F2851" s="42" t="s">
        <v>1708</v>
      </c>
      <c r="G2851" s="138"/>
      <c r="H2851" s="65">
        <f>SUM(H2847:H2850)</f>
        <v>16170</v>
      </c>
    </row>
    <row r="2852" spans="1:8" ht="18" customHeight="1">
      <c r="B2852" s="1" t="s">
        <v>1710</v>
      </c>
      <c r="F2852" s="42" t="s">
        <v>1689</v>
      </c>
      <c r="G2852" s="138"/>
      <c r="H2852" s="103">
        <f>FLOOR(H2851*0.15,0.01)</f>
        <v>2425.5</v>
      </c>
    </row>
    <row r="2853" spans="1:8" ht="16.5">
      <c r="A2853"/>
      <c r="B2853" s="147">
        <f>+H2853</f>
        <v>18595.5</v>
      </c>
      <c r="C2853" s="28" t="s">
        <v>3384</v>
      </c>
      <c r="D2853" s="103">
        <f>INT(B2853/B2854*100)/100</f>
        <v>185.95</v>
      </c>
      <c r="E2853" s="1" t="s">
        <v>3385</v>
      </c>
      <c r="F2853" s="42" t="s">
        <v>1711</v>
      </c>
      <c r="G2853" s="138"/>
      <c r="H2853" s="103">
        <f>SUM(H2851:H2852)</f>
        <v>18595.5</v>
      </c>
    </row>
    <row r="2854" spans="1:8" ht="15.75">
      <c r="B2854" s="121">
        <v>100</v>
      </c>
      <c r="F2854" s="42"/>
      <c r="G2854" s="42"/>
    </row>
    <row r="2855" spans="1:8" ht="15.75">
      <c r="B2855" s="121"/>
      <c r="F2855" s="42"/>
      <c r="G2855" s="42"/>
    </row>
    <row r="2856" spans="1:8" ht="15.75">
      <c r="B2856" s="121"/>
      <c r="F2856" s="42"/>
      <c r="G2856" s="42"/>
    </row>
    <row r="2857" spans="1:8" ht="15.75">
      <c r="B2857" s="121"/>
      <c r="F2857" s="42"/>
      <c r="G2857" s="42"/>
    </row>
    <row r="2858" spans="1:8" ht="15.75">
      <c r="B2858" s="121"/>
      <c r="F2858" s="42"/>
      <c r="G2858" s="42"/>
    </row>
    <row r="2859" spans="1:8" ht="19.5">
      <c r="A2859" s="282">
        <f>A2843+1</f>
        <v>171</v>
      </c>
      <c r="B2859" s="1077" t="s">
        <v>1694</v>
      </c>
      <c r="C2859" s="1089"/>
      <c r="D2859" s="1089"/>
      <c r="E2859" s="1089"/>
      <c r="F2859" s="1089"/>
      <c r="G2859" s="1089"/>
      <c r="H2859" s="1089"/>
    </row>
    <row r="2860" spans="1:8">
      <c r="A2860" s="1019" t="s">
        <v>4430</v>
      </c>
      <c r="B2860" s="1074" t="s">
        <v>1592</v>
      </c>
      <c r="C2860" s="1092"/>
      <c r="D2860" s="1092"/>
      <c r="E2860" s="1092"/>
      <c r="F2860" s="1092"/>
      <c r="G2860" s="1092"/>
      <c r="H2860" s="1092"/>
    </row>
    <row r="2861" spans="1:8" ht="31.5">
      <c r="B2861" s="70" t="s">
        <v>3340</v>
      </c>
      <c r="C2861" s="70" t="s">
        <v>3341</v>
      </c>
      <c r="D2861" s="70" t="s">
        <v>3342</v>
      </c>
      <c r="E2861" s="70" t="s">
        <v>3343</v>
      </c>
      <c r="F2861" s="70" t="s">
        <v>3344</v>
      </c>
      <c r="G2861" s="70" t="s">
        <v>3345</v>
      </c>
      <c r="H2861" s="70" t="s">
        <v>1704</v>
      </c>
    </row>
    <row r="2862" spans="1:8" ht="18" customHeight="1">
      <c r="B2862" s="1067" t="s">
        <v>1705</v>
      </c>
      <c r="C2862" s="60" t="s">
        <v>610</v>
      </c>
      <c r="D2862" s="43">
        <v>10.5</v>
      </c>
      <c r="E2862" s="57" t="s">
        <v>1707</v>
      </c>
      <c r="F2862" s="111">
        <f>$F$3339</f>
        <v>525</v>
      </c>
      <c r="G2862" s="111">
        <f>FLOOR(D2862*F2862,0.01)</f>
        <v>5512.5</v>
      </c>
      <c r="H2862" s="112"/>
    </row>
    <row r="2863" spans="1:8" ht="17.25">
      <c r="B2863" s="1070"/>
      <c r="C2863" s="80" t="s">
        <v>1647</v>
      </c>
      <c r="D2863" s="45">
        <v>12</v>
      </c>
      <c r="E2863" s="58" t="s">
        <v>1707</v>
      </c>
      <c r="F2863" s="65">
        <f>$F$3340</f>
        <v>375</v>
      </c>
      <c r="G2863" s="65">
        <f>FLOOR(D2863*F2863,0.01)</f>
        <v>4500</v>
      </c>
      <c r="H2863" s="127">
        <f>SUM(G2862+G2863)</f>
        <v>10012.5</v>
      </c>
    </row>
    <row r="2864" spans="1:8" ht="17.25">
      <c r="B2864" s="1069" t="s">
        <v>2330</v>
      </c>
      <c r="C2864" s="57" t="s">
        <v>1650</v>
      </c>
      <c r="D2864" s="48">
        <v>0.316</v>
      </c>
      <c r="E2864" s="57" t="s">
        <v>804</v>
      </c>
      <c r="F2864" s="114">
        <f>'update Rate'!$F$15</f>
        <v>14200</v>
      </c>
      <c r="G2864" s="114">
        <f>FLOOR(D2864*F2864,0.01)</f>
        <v>4487.2</v>
      </c>
      <c r="H2864" s="112"/>
    </row>
    <row r="2865" spans="1:8" ht="18" customHeight="1">
      <c r="B2865" s="1070"/>
      <c r="C2865" s="58" t="s">
        <v>801</v>
      </c>
      <c r="D2865" s="45">
        <v>0.22</v>
      </c>
      <c r="E2865" s="58" t="s">
        <v>2530</v>
      </c>
      <c r="F2865" s="65">
        <f>'update Rate'!$F$8</f>
        <v>1659.57</v>
      </c>
      <c r="G2865" s="65">
        <f>FLOOR(D2865*F2865,0.01)</f>
        <v>365.1</v>
      </c>
      <c r="H2865" s="127">
        <f>SUM(G2864:G2865)</f>
        <v>4852.3</v>
      </c>
    </row>
    <row r="2866" spans="1:8" ht="16.5">
      <c r="F2866" s="42" t="s">
        <v>1708</v>
      </c>
      <c r="G2866" s="138"/>
      <c r="H2866" s="65">
        <f>SUM(H2863:H2865)</f>
        <v>14864.8</v>
      </c>
    </row>
    <row r="2867" spans="1:8" ht="18" customHeight="1">
      <c r="B2867" s="1" t="s">
        <v>1710</v>
      </c>
      <c r="F2867" s="42" t="s">
        <v>1688</v>
      </c>
      <c r="G2867" s="138"/>
      <c r="H2867" s="103">
        <f>FLOOR(H2866*0.15,0.01)</f>
        <v>2229.7200000000003</v>
      </c>
    </row>
    <row r="2868" spans="1:8" ht="24" customHeight="1">
      <c r="A2868"/>
      <c r="B2868" s="147">
        <f>+H2868</f>
        <v>17094.52</v>
      </c>
      <c r="C2868" s="28" t="s">
        <v>3384</v>
      </c>
      <c r="D2868" s="103">
        <f>INT(B2868/B2869*100)/100</f>
        <v>170.94</v>
      </c>
      <c r="E2868" s="1" t="s">
        <v>3385</v>
      </c>
      <c r="F2868" s="42" t="s">
        <v>1711</v>
      </c>
      <c r="G2868" s="42"/>
      <c r="H2868" s="103">
        <f>SUM(H2866:H2867)</f>
        <v>17094.52</v>
      </c>
    </row>
    <row r="2869" spans="1:8">
      <c r="B2869" s="121">
        <v>100</v>
      </c>
    </row>
    <row r="2870" spans="1:8">
      <c r="B2870" s="121"/>
    </row>
    <row r="2871" spans="1:8">
      <c r="B2871" s="121"/>
    </row>
    <row r="2872" spans="1:8">
      <c r="A2872" s="33"/>
    </row>
    <row r="2873" spans="1:8">
      <c r="A2873" s="33"/>
      <c r="B2873" s="121"/>
    </row>
    <row r="2874" spans="1:8">
      <c r="A2874" s="32"/>
    </row>
    <row r="2875" spans="1:8" ht="19.5">
      <c r="A2875" s="282">
        <f>A2859+1</f>
        <v>172</v>
      </c>
      <c r="B2875" s="1076" t="s">
        <v>1717</v>
      </c>
      <c r="C2875" s="1077"/>
      <c r="D2875" s="1077"/>
      <c r="E2875" s="1077"/>
      <c r="F2875" s="1077"/>
      <c r="G2875" s="1077"/>
      <c r="H2875" s="1077"/>
    </row>
    <row r="2876" spans="1:8" ht="18" customHeight="1">
      <c r="A2876" s="1019" t="s">
        <v>4430</v>
      </c>
      <c r="B2876" s="1074" t="s">
        <v>1592</v>
      </c>
      <c r="C2876" s="1075"/>
      <c r="D2876" s="1075"/>
      <c r="E2876" s="1075"/>
      <c r="F2876" s="1075"/>
      <c r="G2876" s="1075"/>
      <c r="H2876" s="1075"/>
    </row>
    <row r="2877" spans="1:8" ht="31.5">
      <c r="B2877" s="70" t="s">
        <v>3340</v>
      </c>
      <c r="C2877" s="70" t="s">
        <v>3341</v>
      </c>
      <c r="D2877" s="70" t="s">
        <v>3342</v>
      </c>
      <c r="E2877" s="70" t="s">
        <v>3343</v>
      </c>
      <c r="F2877" s="70" t="s">
        <v>3344</v>
      </c>
      <c r="G2877" s="70" t="s">
        <v>3345</v>
      </c>
      <c r="H2877" s="70" t="s">
        <v>1704</v>
      </c>
    </row>
    <row r="2878" spans="1:8" ht="18" customHeight="1">
      <c r="B2878" s="1067" t="s">
        <v>1705</v>
      </c>
      <c r="C2878" s="60" t="s">
        <v>610</v>
      </c>
      <c r="D2878" s="43">
        <v>10.5</v>
      </c>
      <c r="E2878" s="57" t="s">
        <v>1707</v>
      </c>
      <c r="F2878" s="111">
        <f>'update Rate'!F5</f>
        <v>525</v>
      </c>
      <c r="G2878" s="111">
        <f>FLOOR(D2878*F2878,0.01)</f>
        <v>5512.5</v>
      </c>
      <c r="H2878" s="112"/>
    </row>
    <row r="2879" spans="1:8" ht="17.25">
      <c r="B2879" s="1070"/>
      <c r="C2879" s="80" t="s">
        <v>1647</v>
      </c>
      <c r="D2879" s="45">
        <v>12</v>
      </c>
      <c r="E2879" s="58" t="s">
        <v>1707</v>
      </c>
      <c r="F2879" s="65">
        <f>'update Rate'!F4</f>
        <v>375</v>
      </c>
      <c r="G2879" s="65">
        <f>FLOOR(D2879*F2879,0.01)</f>
        <v>4500</v>
      </c>
      <c r="H2879" s="127">
        <f>SUM(G2878+G2879)</f>
        <v>10012.5</v>
      </c>
    </row>
    <row r="2880" spans="1:8" ht="18" customHeight="1">
      <c r="B2880" s="1069" t="s">
        <v>2330</v>
      </c>
      <c r="C2880" s="57" t="s">
        <v>1650</v>
      </c>
      <c r="D2880" s="48">
        <v>0.21</v>
      </c>
      <c r="E2880" s="57" t="s">
        <v>804</v>
      </c>
      <c r="F2880" s="114">
        <f>'update Rate'!F15</f>
        <v>14200</v>
      </c>
      <c r="G2880" s="114">
        <f>FLOOR(D2880*F2880,0.01)</f>
        <v>2982</v>
      </c>
      <c r="H2880" s="112"/>
    </row>
    <row r="2881" spans="1:8" ht="18" customHeight="1">
      <c r="B2881" s="1070"/>
      <c r="C2881" s="58" t="s">
        <v>801</v>
      </c>
      <c r="D2881" s="45">
        <v>0.28999999999999998</v>
      </c>
      <c r="E2881" s="58" t="s">
        <v>2530</v>
      </c>
      <c r="F2881" s="65">
        <f>'update Rate'!F8</f>
        <v>1659.57</v>
      </c>
      <c r="G2881" s="65">
        <f>FLOOR(D2881*F2881,0.01)</f>
        <v>481.27</v>
      </c>
      <c r="H2881" s="127">
        <f>SUM(G2880:G2881)</f>
        <v>3463.27</v>
      </c>
    </row>
    <row r="2882" spans="1:8" ht="18" customHeight="1">
      <c r="F2882" s="1" t="s">
        <v>1708</v>
      </c>
      <c r="G2882" s="138"/>
      <c r="H2882" s="65">
        <f>SUM(H2879:H2881)</f>
        <v>13475.77</v>
      </c>
    </row>
    <row r="2883" spans="1:8" ht="15.75">
      <c r="B2883" s="1" t="s">
        <v>1710</v>
      </c>
      <c r="F2883" s="1" t="s">
        <v>1688</v>
      </c>
      <c r="G2883" s="42"/>
      <c r="H2883" s="103">
        <f>FLOOR(H2882*0.15,0.01)</f>
        <v>2021.3600000000001</v>
      </c>
    </row>
    <row r="2884" spans="1:8" ht="15.75">
      <c r="A2884"/>
      <c r="B2884" s="147">
        <f>+H2884</f>
        <v>15497.130000000001</v>
      </c>
      <c r="C2884" s="28" t="s">
        <v>3384</v>
      </c>
      <c r="D2884" s="103">
        <f>INT(B2884/B2885*100)/100</f>
        <v>154.97</v>
      </c>
      <c r="E2884" s="1" t="s">
        <v>3385</v>
      </c>
      <c r="F2884" s="1" t="s">
        <v>1711</v>
      </c>
      <c r="G2884" s="42"/>
      <c r="H2884" s="103">
        <f>SUM(H2882:H2883)</f>
        <v>15497.130000000001</v>
      </c>
    </row>
    <row r="2885" spans="1:8" ht="17.25" customHeight="1">
      <c r="B2885" s="121">
        <v>100</v>
      </c>
    </row>
    <row r="2886" spans="1:8" ht="17.25" customHeight="1">
      <c r="B2886" s="121"/>
    </row>
    <row r="2887" spans="1:8" ht="18.75" customHeight="1">
      <c r="A2887" s="32"/>
      <c r="B2887" s="1077" t="s">
        <v>205</v>
      </c>
      <c r="C2887" s="1077"/>
      <c r="D2887" s="1077"/>
      <c r="E2887" s="1077"/>
      <c r="F2887" s="1077"/>
      <c r="G2887" s="1077"/>
      <c r="H2887" s="1077"/>
    </row>
    <row r="2888" spans="1:8" ht="19.5">
      <c r="A2888" s="282">
        <f>A2875+1</f>
        <v>173</v>
      </c>
      <c r="B2888" s="1071" t="s">
        <v>1572</v>
      </c>
      <c r="C2888" s="1072"/>
      <c r="D2888" s="1072"/>
      <c r="E2888" s="1072"/>
      <c r="F2888" s="1072"/>
      <c r="G2888" s="1072"/>
      <c r="H2888" s="1072"/>
    </row>
    <row r="2889" spans="1:8" ht="20.100000000000001" customHeight="1">
      <c r="A2889" s="1019" t="s">
        <v>4431</v>
      </c>
      <c r="B2889" s="1074" t="s">
        <v>1592</v>
      </c>
      <c r="C2889" s="1075"/>
      <c r="D2889" s="1075"/>
      <c r="E2889" s="1075"/>
      <c r="F2889" s="1075"/>
      <c r="G2889" s="1075"/>
      <c r="H2889" s="1075"/>
    </row>
    <row r="2890" spans="1:8" ht="31.5">
      <c r="B2890" s="70" t="s">
        <v>3340</v>
      </c>
      <c r="C2890" s="70" t="s">
        <v>3341</v>
      </c>
      <c r="D2890" s="70" t="s">
        <v>3342</v>
      </c>
      <c r="E2890" s="70" t="s">
        <v>3343</v>
      </c>
      <c r="F2890" s="70" t="s">
        <v>3344</v>
      </c>
      <c r="G2890" s="70" t="s">
        <v>3345</v>
      </c>
      <c r="H2890" s="70" t="s">
        <v>1704</v>
      </c>
    </row>
    <row r="2891" spans="1:8" ht="17.25">
      <c r="B2891" s="1067" t="s">
        <v>1705</v>
      </c>
      <c r="C2891" s="60" t="s">
        <v>610</v>
      </c>
      <c r="D2891" s="43">
        <v>10</v>
      </c>
      <c r="E2891" s="57" t="s">
        <v>1707</v>
      </c>
      <c r="F2891" s="111">
        <f>'update Rate'!F5</f>
        <v>525</v>
      </c>
      <c r="G2891" s="111">
        <f>FLOOR(D2891*F2891,0.01)</f>
        <v>5250</v>
      </c>
      <c r="H2891" s="112"/>
    </row>
    <row r="2892" spans="1:8" ht="20.100000000000001" customHeight="1">
      <c r="B2892" s="1070"/>
      <c r="C2892" s="80" t="s">
        <v>1647</v>
      </c>
      <c r="D2892" s="45">
        <v>14</v>
      </c>
      <c r="E2892" s="58" t="s">
        <v>1707</v>
      </c>
      <c r="F2892" s="65">
        <f>'update Rate'!F4</f>
        <v>375</v>
      </c>
      <c r="G2892" s="65">
        <f>FLOOR(D2892*F2892,0.01)</f>
        <v>5250</v>
      </c>
      <c r="H2892" s="127">
        <f>SUM(G2891+G2892)</f>
        <v>10500</v>
      </c>
    </row>
    <row r="2893" spans="1:8" ht="20.100000000000001" customHeight="1">
      <c r="B2893" s="1069" t="s">
        <v>2330</v>
      </c>
      <c r="C2893" s="57" t="s">
        <v>1650</v>
      </c>
      <c r="D2893" s="48">
        <v>0.61199999999999999</v>
      </c>
      <c r="E2893" s="57" t="s">
        <v>804</v>
      </c>
      <c r="F2893" s="114">
        <f>'update Rate'!F15</f>
        <v>14200</v>
      </c>
      <c r="G2893" s="114">
        <f>FLOOR(D2893*F2893,0.01)</f>
        <v>8690.4</v>
      </c>
      <c r="H2893" s="112"/>
    </row>
    <row r="2894" spans="1:8" ht="16.5" customHeight="1">
      <c r="B2894" s="1070"/>
      <c r="C2894" s="58" t="s">
        <v>2366</v>
      </c>
      <c r="D2894" s="45">
        <v>0.43</v>
      </c>
      <c r="E2894" s="58" t="s">
        <v>2530</v>
      </c>
      <c r="F2894" s="65">
        <f>'update Rate'!F8</f>
        <v>1659.57</v>
      </c>
      <c r="G2894" s="65">
        <f>FLOOR(D2894*F2894,0.01)</f>
        <v>713.61</v>
      </c>
      <c r="H2894" s="127">
        <f>SUM(G2893:G2894)</f>
        <v>9404.01</v>
      </c>
    </row>
    <row r="2895" spans="1:8" ht="16.5">
      <c r="F2895" s="42" t="s">
        <v>1708</v>
      </c>
      <c r="G2895" s="138"/>
      <c r="H2895" s="65">
        <f>SUM(H2892:H2894)</f>
        <v>19904.010000000002</v>
      </c>
    </row>
    <row r="2896" spans="1:8" ht="15.75">
      <c r="B2896" s="1" t="s">
        <v>1710</v>
      </c>
      <c r="F2896" s="42" t="s">
        <v>1688</v>
      </c>
      <c r="G2896" s="42"/>
      <c r="H2896" s="103">
        <f>FLOOR(H2895*0.15,0.01)</f>
        <v>2985.6</v>
      </c>
    </row>
    <row r="2897" spans="1:8" ht="15.75">
      <c r="A2897"/>
      <c r="B2897" s="147">
        <f>+H2897</f>
        <v>22889.61</v>
      </c>
      <c r="C2897" s="28" t="s">
        <v>3384</v>
      </c>
      <c r="D2897" s="103">
        <f>INT(B2897/B2898*100)/100</f>
        <v>228.89</v>
      </c>
      <c r="E2897" s="1" t="s">
        <v>3385</v>
      </c>
      <c r="F2897" s="42" t="s">
        <v>1711</v>
      </c>
      <c r="G2897" s="42"/>
      <c r="H2897" s="103">
        <f>SUM(H2895:H2896)</f>
        <v>22889.61</v>
      </c>
    </row>
    <row r="2898" spans="1:8">
      <c r="B2898" s="121">
        <v>100</v>
      </c>
    </row>
    <row r="2899" spans="1:8">
      <c r="B2899" s="121"/>
    </row>
    <row r="2900" spans="1:8">
      <c r="B2900" s="121"/>
    </row>
    <row r="2901" spans="1:8" ht="20.100000000000001" customHeight="1">
      <c r="B2901" s="121"/>
    </row>
    <row r="2902" spans="1:8" ht="16.5" customHeight="1">
      <c r="A2902" s="32"/>
    </row>
    <row r="2903" spans="1:8" ht="20.100000000000001" customHeight="1">
      <c r="A2903" s="282">
        <f>+A2888+1</f>
        <v>174</v>
      </c>
      <c r="B2903" s="1076" t="s">
        <v>206</v>
      </c>
      <c r="C2903" s="1077"/>
      <c r="D2903" s="1077"/>
      <c r="E2903" s="1077"/>
      <c r="F2903" s="1077"/>
      <c r="G2903" s="1077"/>
      <c r="H2903" s="1077"/>
    </row>
    <row r="2904" spans="1:8">
      <c r="A2904" s="1019" t="s">
        <v>4431</v>
      </c>
      <c r="B2904" s="1074" t="s">
        <v>1592</v>
      </c>
      <c r="C2904" s="1075"/>
      <c r="D2904" s="1075"/>
      <c r="E2904" s="1075"/>
      <c r="F2904" s="1075"/>
      <c r="G2904" s="1075"/>
      <c r="H2904" s="1075"/>
    </row>
    <row r="2905" spans="1:8" ht="31.5">
      <c r="B2905" s="70" t="s">
        <v>3340</v>
      </c>
      <c r="C2905" s="70" t="s">
        <v>3341</v>
      </c>
      <c r="D2905" s="70" t="s">
        <v>3342</v>
      </c>
      <c r="E2905" s="70" t="s">
        <v>3343</v>
      </c>
      <c r="F2905" s="70" t="s">
        <v>3344</v>
      </c>
      <c r="G2905" s="70" t="s">
        <v>3345</v>
      </c>
      <c r="H2905" s="70" t="s">
        <v>1704</v>
      </c>
    </row>
    <row r="2906" spans="1:8" ht="17.25">
      <c r="B2906" s="1067" t="s">
        <v>1705</v>
      </c>
      <c r="C2906" s="60" t="s">
        <v>610</v>
      </c>
      <c r="D2906" s="43">
        <v>10</v>
      </c>
      <c r="E2906" s="57" t="s">
        <v>1707</v>
      </c>
      <c r="F2906" s="111">
        <f>'update Rate'!F5</f>
        <v>525</v>
      </c>
      <c r="G2906" s="111">
        <f>FLOOR(D2906*F2906,0.01)</f>
        <v>5250</v>
      </c>
      <c r="H2906" s="112"/>
    </row>
    <row r="2907" spans="1:8" ht="17.25">
      <c r="B2907" s="1070"/>
      <c r="C2907" s="80" t="s">
        <v>1647</v>
      </c>
      <c r="D2907" s="45">
        <v>14</v>
      </c>
      <c r="E2907" s="58" t="s">
        <v>1707</v>
      </c>
      <c r="F2907" s="65">
        <f>'update Rate'!F4</f>
        <v>375</v>
      </c>
      <c r="G2907" s="65">
        <f>FLOOR(D2907*F2907,0.01)</f>
        <v>5250</v>
      </c>
      <c r="H2907" s="127">
        <f>SUM(G2906+G2907)</f>
        <v>10500</v>
      </c>
    </row>
    <row r="2908" spans="1:8" ht="17.25">
      <c r="B2908" s="1069" t="s">
        <v>2330</v>
      </c>
      <c r="C2908" s="57" t="s">
        <v>1650</v>
      </c>
      <c r="D2908" s="48">
        <v>0.40799999999999997</v>
      </c>
      <c r="E2908" s="57" t="s">
        <v>804</v>
      </c>
      <c r="F2908" s="114">
        <f>'update Rate'!F15</f>
        <v>14200</v>
      </c>
      <c r="G2908" s="114">
        <f>FLOOR(D2908*F2908,0.01)</f>
        <v>5793.6</v>
      </c>
      <c r="H2908" s="112"/>
    </row>
    <row r="2909" spans="1:8" ht="23.25" customHeight="1">
      <c r="B2909" s="1070"/>
      <c r="C2909" s="58" t="s">
        <v>2366</v>
      </c>
      <c r="D2909" s="45">
        <v>0.56999999999999995</v>
      </c>
      <c r="E2909" s="58" t="s">
        <v>2530</v>
      </c>
      <c r="F2909" s="65">
        <f>'update Rate'!F8</f>
        <v>1659.57</v>
      </c>
      <c r="G2909" s="65">
        <f>FLOOR(D2909*F2909,0.01)</f>
        <v>945.95</v>
      </c>
      <c r="H2909" s="127">
        <f>SUM(G2908:G2909)</f>
        <v>6739.55</v>
      </c>
    </row>
    <row r="2910" spans="1:8" ht="16.5">
      <c r="F2910" s="42" t="s">
        <v>1708</v>
      </c>
      <c r="G2910" s="138"/>
      <c r="H2910" s="65">
        <f>SUM(H2907:H2909)</f>
        <v>17239.55</v>
      </c>
    </row>
    <row r="2911" spans="1:8" ht="20.100000000000001" customHeight="1">
      <c r="B2911" s="1" t="s">
        <v>1710</v>
      </c>
      <c r="F2911" s="42" t="s">
        <v>1688</v>
      </c>
      <c r="G2911" s="42"/>
      <c r="H2911" s="103">
        <f>FLOOR(H2910*0.15,0.01)</f>
        <v>2585.9299999999998</v>
      </c>
    </row>
    <row r="2912" spans="1:8" ht="15.75">
      <c r="A2912"/>
      <c r="B2912" s="147">
        <f>+H2912</f>
        <v>19825.48</v>
      </c>
      <c r="C2912" s="28" t="s">
        <v>3384</v>
      </c>
      <c r="D2912" s="103">
        <f>INT(B2912/B2913*100)/100</f>
        <v>198.25</v>
      </c>
      <c r="E2912" s="1" t="s">
        <v>3385</v>
      </c>
      <c r="F2912" s="42" t="s">
        <v>1711</v>
      </c>
      <c r="G2912" s="42"/>
      <c r="H2912" s="103">
        <f>SUM(H2910:H2911)</f>
        <v>19825.48</v>
      </c>
    </row>
    <row r="2913" spans="1:8" ht="18.75" customHeight="1">
      <c r="B2913" s="121">
        <v>100</v>
      </c>
    </row>
    <row r="2914" spans="1:8" ht="18.75" customHeight="1">
      <c r="B2914" s="121"/>
    </row>
    <row r="2915" spans="1:8" ht="18.75" customHeight="1">
      <c r="B2915" s="121"/>
    </row>
    <row r="2916" spans="1:8" ht="20.100000000000001" customHeight="1"/>
    <row r="2918" spans="1:8" ht="19.5">
      <c r="A2918" s="282">
        <f>A2903+1</f>
        <v>175</v>
      </c>
      <c r="B2918" s="1076" t="s">
        <v>207</v>
      </c>
      <c r="C2918" s="1077"/>
      <c r="D2918" s="1077"/>
      <c r="E2918" s="1077"/>
      <c r="F2918" s="1077"/>
      <c r="G2918" s="1077"/>
      <c r="H2918" s="1077"/>
    </row>
    <row r="2919" spans="1:8" ht="17.25" customHeight="1">
      <c r="A2919" s="1019" t="s">
        <v>4432</v>
      </c>
      <c r="B2919" s="1074" t="s">
        <v>1593</v>
      </c>
      <c r="C2919" s="1075"/>
      <c r="D2919" s="1075"/>
      <c r="E2919" s="1075"/>
      <c r="F2919" s="1075"/>
      <c r="G2919" s="1075"/>
      <c r="H2919" s="1075"/>
    </row>
    <row r="2920" spans="1:8" ht="31.5">
      <c r="B2920" s="70" t="s">
        <v>3340</v>
      </c>
      <c r="C2920" s="70" t="s">
        <v>3341</v>
      </c>
      <c r="D2920" s="70" t="s">
        <v>3342</v>
      </c>
      <c r="E2920" s="70" t="s">
        <v>3343</v>
      </c>
      <c r="F2920" s="70" t="s">
        <v>3344</v>
      </c>
      <c r="G2920" s="70" t="s">
        <v>3345</v>
      </c>
      <c r="H2920" s="70" t="s">
        <v>1704</v>
      </c>
    </row>
    <row r="2921" spans="1:8" ht="17.25">
      <c r="B2921" s="1067" t="s">
        <v>1705</v>
      </c>
      <c r="C2921" s="60" t="s">
        <v>610</v>
      </c>
      <c r="D2921" s="43">
        <v>8</v>
      </c>
      <c r="E2921" s="57" t="s">
        <v>1707</v>
      </c>
      <c r="F2921" s="111">
        <f>'update Rate'!F5</f>
        <v>525</v>
      </c>
      <c r="G2921" s="111">
        <f>FLOOR(D2921*F2921,0.01)</f>
        <v>4200</v>
      </c>
      <c r="H2921" s="112"/>
    </row>
    <row r="2922" spans="1:8" ht="16.5" customHeight="1">
      <c r="B2922" s="1070"/>
      <c r="C2922" s="80" t="s">
        <v>1647</v>
      </c>
      <c r="D2922" s="45">
        <v>10</v>
      </c>
      <c r="E2922" s="58" t="s">
        <v>1707</v>
      </c>
      <c r="F2922" s="65">
        <f>'update Rate'!F4</f>
        <v>375</v>
      </c>
      <c r="G2922" s="65">
        <f>FLOOR(D2922*F2922,0.01)</f>
        <v>3750</v>
      </c>
      <c r="H2922" s="127">
        <f>SUM(G2921+G2922)</f>
        <v>7950</v>
      </c>
    </row>
    <row r="2923" spans="1:8" ht="17.25">
      <c r="B2923" s="1069" t="s">
        <v>2330</v>
      </c>
      <c r="C2923" s="57" t="s">
        <v>1650</v>
      </c>
      <c r="D2923" s="43">
        <v>0.11</v>
      </c>
      <c r="E2923" s="57" t="s">
        <v>804</v>
      </c>
      <c r="F2923" s="114">
        <f>'update Rate'!F15</f>
        <v>14200</v>
      </c>
      <c r="G2923" s="114">
        <f>FLOOR(D2923*F2923,0.01)</f>
        <v>1562</v>
      </c>
      <c r="H2923" s="112"/>
    </row>
    <row r="2924" spans="1:8" ht="20.100000000000001" customHeight="1">
      <c r="B2924" s="1095"/>
      <c r="C2924" s="55" t="s">
        <v>2366</v>
      </c>
      <c r="D2924" s="44">
        <v>0.2</v>
      </c>
      <c r="E2924" s="55" t="s">
        <v>2530</v>
      </c>
      <c r="F2924" s="113">
        <f>'update Rate'!F8</f>
        <v>1659.57</v>
      </c>
      <c r="G2924" s="113">
        <f>FLOOR(D2924*F2924,0.01)</f>
        <v>331.91</v>
      </c>
      <c r="H2924" s="125">
        <f>SUM(G2923+G2924)</f>
        <v>1893.91</v>
      </c>
    </row>
    <row r="2925" spans="1:8" ht="17.25">
      <c r="B2925" s="1070"/>
      <c r="C2925" s="58"/>
      <c r="D2925" s="45"/>
      <c r="E2925" s="58"/>
      <c r="F2925" s="65"/>
      <c r="G2925" s="65"/>
      <c r="H2925" s="127"/>
    </row>
    <row r="2926" spans="1:8" ht="20.100000000000001" customHeight="1">
      <c r="F2926" s="42" t="s">
        <v>1708</v>
      </c>
      <c r="G2926" s="42"/>
      <c r="H2926" s="65">
        <f>SUM(H2922:H2925)</f>
        <v>9843.91</v>
      </c>
    </row>
    <row r="2927" spans="1:8" ht="20.100000000000001" customHeight="1">
      <c r="B2927" s="1" t="s">
        <v>1710</v>
      </c>
      <c r="F2927" s="42" t="s">
        <v>1688</v>
      </c>
      <c r="G2927" s="42"/>
      <c r="H2927" s="103">
        <f>FLOOR(H2926*0.15,0.01)</f>
        <v>1476.58</v>
      </c>
    </row>
    <row r="2928" spans="1:8" ht="15.75">
      <c r="A2928"/>
      <c r="B2928" s="147">
        <f>+H2928</f>
        <v>11320.49</v>
      </c>
      <c r="C2928" s="28" t="s">
        <v>3384</v>
      </c>
      <c r="D2928" s="103">
        <f>INT(B2928/B2929*100)/100</f>
        <v>113.2</v>
      </c>
      <c r="E2928" s="1" t="s">
        <v>3385</v>
      </c>
      <c r="F2928" s="42" t="s">
        <v>1711</v>
      </c>
      <c r="G2928" s="42"/>
      <c r="H2928" s="103">
        <f>SUM(H2926:H2927)</f>
        <v>11320.49</v>
      </c>
    </row>
    <row r="2929" spans="1:8">
      <c r="B2929" s="121">
        <v>100</v>
      </c>
    </row>
    <row r="2930" spans="1:8" ht="21" customHeight="1">
      <c r="B2930" s="121"/>
    </row>
    <row r="2931" spans="1:8" ht="19.5">
      <c r="A2931" s="282">
        <f>+A2918+1</f>
        <v>176</v>
      </c>
      <c r="B2931" s="1076" t="s">
        <v>208</v>
      </c>
      <c r="C2931" s="1077"/>
      <c r="D2931" s="1077"/>
      <c r="E2931" s="1077"/>
      <c r="F2931" s="1077"/>
      <c r="G2931" s="1077"/>
      <c r="H2931" s="1077"/>
    </row>
    <row r="2932" spans="1:8">
      <c r="A2932" s="1019" t="s">
        <v>4433</v>
      </c>
      <c r="B2932" s="1074" t="s">
        <v>1592</v>
      </c>
      <c r="C2932" s="1075"/>
      <c r="D2932" s="1075"/>
      <c r="E2932" s="1075"/>
      <c r="F2932" s="1075"/>
      <c r="G2932" s="1075"/>
      <c r="H2932" s="1075"/>
    </row>
    <row r="2933" spans="1:8" ht="31.5">
      <c r="B2933" s="70" t="s">
        <v>3340</v>
      </c>
      <c r="C2933" s="70" t="s">
        <v>3341</v>
      </c>
      <c r="D2933" s="70" t="s">
        <v>3342</v>
      </c>
      <c r="E2933" s="70" t="s">
        <v>3343</v>
      </c>
      <c r="F2933" s="70" t="s">
        <v>3344</v>
      </c>
      <c r="G2933" s="70" t="s">
        <v>3345</v>
      </c>
      <c r="H2933" s="70" t="s">
        <v>1704</v>
      </c>
    </row>
    <row r="2934" spans="1:8" ht="17.25">
      <c r="B2934" s="1067" t="s">
        <v>1705</v>
      </c>
      <c r="C2934" s="60" t="s">
        <v>610</v>
      </c>
      <c r="D2934" s="43">
        <v>5</v>
      </c>
      <c r="E2934" s="57" t="s">
        <v>1707</v>
      </c>
      <c r="F2934" s="111">
        <f>'update Rate'!F5</f>
        <v>525</v>
      </c>
      <c r="G2934" s="111">
        <f>FLOOR(D2934*F2934,0.01)</f>
        <v>2625</v>
      </c>
      <c r="H2934" s="112"/>
    </row>
    <row r="2935" spans="1:8" ht="17.25">
      <c r="B2935" s="1070"/>
      <c r="C2935" s="80" t="s">
        <v>1647</v>
      </c>
      <c r="D2935" s="45">
        <v>5</v>
      </c>
      <c r="E2935" s="58" t="s">
        <v>1707</v>
      </c>
      <c r="F2935" s="65">
        <f>'update Rate'!F4</f>
        <v>375</v>
      </c>
      <c r="G2935" s="65">
        <f>FLOOR(D2935*F2935,0.01)</f>
        <v>1875</v>
      </c>
      <c r="H2935" s="127">
        <f>SUM(G2934+G2935)</f>
        <v>4500</v>
      </c>
    </row>
    <row r="2936" spans="1:8" ht="17.25">
      <c r="B2936" s="1069" t="s">
        <v>2330</v>
      </c>
      <c r="C2936" s="57" t="s">
        <v>1650</v>
      </c>
      <c r="D2936" s="48">
        <v>4.2000000000000003E-2</v>
      </c>
      <c r="E2936" s="57" t="s">
        <v>804</v>
      </c>
      <c r="F2936" s="114">
        <f>'update Rate'!F15</f>
        <v>14200</v>
      </c>
      <c r="G2936" s="114">
        <f>FLOOR(D2936*F2936,0.01)</f>
        <v>596.4</v>
      </c>
      <c r="H2936" s="112"/>
    </row>
    <row r="2937" spans="1:8" ht="17.25">
      <c r="B2937" s="1070"/>
      <c r="C2937" s="58" t="s">
        <v>2366</v>
      </c>
      <c r="D2937" s="45">
        <v>0.03</v>
      </c>
      <c r="E2937" s="58" t="s">
        <v>2530</v>
      </c>
      <c r="F2937" s="65">
        <f>'update Rate'!F8</f>
        <v>1659.57</v>
      </c>
      <c r="G2937" s="65">
        <f>FLOOR(D2937*F2937,0.01)</f>
        <v>49.78</v>
      </c>
      <c r="H2937" s="127">
        <f>SUM(G2936+G2937)</f>
        <v>646.17999999999995</v>
      </c>
    </row>
    <row r="2938" spans="1:8" ht="15.75">
      <c r="F2938" s="42" t="s">
        <v>1708</v>
      </c>
      <c r="G2938" s="42"/>
      <c r="H2938" s="65">
        <f>SUM(H2935:H2937)</f>
        <v>5146.18</v>
      </c>
    </row>
    <row r="2939" spans="1:8" ht="15.75">
      <c r="B2939" s="1" t="s">
        <v>1710</v>
      </c>
      <c r="F2939" s="42" t="s">
        <v>1688</v>
      </c>
      <c r="G2939" s="42"/>
      <c r="H2939" s="103">
        <f>FLOOR(H2938*0.15,0.01)</f>
        <v>771.92000000000007</v>
      </c>
    </row>
    <row r="2940" spans="1:8" ht="15.75">
      <c r="A2940"/>
      <c r="B2940" s="147">
        <f>+H2940</f>
        <v>5918.1</v>
      </c>
      <c r="C2940" s="28" t="s">
        <v>3384</v>
      </c>
      <c r="D2940" s="103">
        <f>INT(B2940/B2941*100)/100</f>
        <v>59.18</v>
      </c>
      <c r="E2940" s="1" t="s">
        <v>3385</v>
      </c>
      <c r="F2940" s="42" t="s">
        <v>1711</v>
      </c>
      <c r="G2940" s="42"/>
      <c r="H2940" s="103">
        <f>SUM(H2938:H2939)</f>
        <v>5918.1</v>
      </c>
    </row>
    <row r="2941" spans="1:8">
      <c r="B2941" s="121">
        <v>100</v>
      </c>
    </row>
    <row r="2942" spans="1:8">
      <c r="B2942" s="121"/>
    </row>
    <row r="2943" spans="1:8">
      <c r="B2943" s="121"/>
    </row>
    <row r="2944" spans="1:8">
      <c r="B2944" s="121"/>
    </row>
    <row r="2945" spans="1:8" ht="19.5">
      <c r="A2945" s="282">
        <f>+A2931+1</f>
        <v>177</v>
      </c>
      <c r="B2945" s="1076" t="s">
        <v>456</v>
      </c>
      <c r="C2945" s="1077"/>
      <c r="D2945" s="1077"/>
      <c r="E2945" s="1077"/>
      <c r="F2945" s="1077"/>
      <c r="G2945" s="1077"/>
      <c r="H2945" s="1077"/>
    </row>
    <row r="2946" spans="1:8" ht="18.75" customHeight="1">
      <c r="A2946" s="1019" t="s">
        <v>4434</v>
      </c>
      <c r="B2946" s="1074" t="s">
        <v>1592</v>
      </c>
      <c r="C2946" s="1075"/>
      <c r="D2946" s="1075"/>
      <c r="E2946" s="1075"/>
      <c r="F2946" s="1075"/>
      <c r="G2946" s="1075"/>
      <c r="H2946" s="1075"/>
    </row>
    <row r="2947" spans="1:8" ht="31.5">
      <c r="B2947" s="70" t="s">
        <v>3340</v>
      </c>
      <c r="C2947" s="70" t="s">
        <v>3341</v>
      </c>
      <c r="D2947" s="70" t="s">
        <v>3342</v>
      </c>
      <c r="E2947" s="70" t="s">
        <v>3343</v>
      </c>
      <c r="F2947" s="70" t="s">
        <v>3344</v>
      </c>
      <c r="G2947" s="70" t="s">
        <v>3345</v>
      </c>
      <c r="H2947" s="70" t="s">
        <v>1704</v>
      </c>
    </row>
    <row r="2948" spans="1:8" ht="17.25">
      <c r="B2948" s="1067" t="s">
        <v>1705</v>
      </c>
      <c r="C2948" s="60" t="s">
        <v>610</v>
      </c>
      <c r="D2948" s="43">
        <v>10</v>
      </c>
      <c r="E2948" s="57" t="s">
        <v>1707</v>
      </c>
      <c r="F2948" s="111">
        <f>'update Rate'!F5</f>
        <v>525</v>
      </c>
      <c r="G2948" s="111">
        <f>FLOOR(D2948*F2948,0.01)</f>
        <v>5250</v>
      </c>
      <c r="H2948" s="112"/>
    </row>
    <row r="2949" spans="1:8" ht="17.25">
      <c r="B2949" s="1070"/>
      <c r="C2949" s="80" t="s">
        <v>1647</v>
      </c>
      <c r="D2949" s="45">
        <v>10</v>
      </c>
      <c r="E2949" s="58" t="s">
        <v>1707</v>
      </c>
      <c r="F2949" s="65">
        <f>'update Rate'!F4</f>
        <v>375</v>
      </c>
      <c r="G2949" s="65">
        <f>FLOOR(D2949*F2949,0.01)</f>
        <v>3750</v>
      </c>
      <c r="H2949" s="127">
        <f>SUM(G2948+G2949)</f>
        <v>9000</v>
      </c>
    </row>
    <row r="2950" spans="1:8" ht="17.25">
      <c r="B2950" s="1069" t="s">
        <v>2330</v>
      </c>
      <c r="C2950" s="57" t="s">
        <v>1650</v>
      </c>
      <c r="D2950" s="43">
        <v>0.15</v>
      </c>
      <c r="E2950" s="57" t="s">
        <v>804</v>
      </c>
      <c r="F2950" s="114">
        <f>'update Rate'!F15</f>
        <v>14200</v>
      </c>
      <c r="G2950" s="114">
        <f>FLOOR(D2950*F2950,0.01)</f>
        <v>2130</v>
      </c>
      <c r="H2950" s="112"/>
    </row>
    <row r="2951" spans="1:8" ht="17.25">
      <c r="B2951" s="1095"/>
      <c r="C2951" s="55" t="s">
        <v>801</v>
      </c>
      <c r="D2951" s="44">
        <v>0.1</v>
      </c>
      <c r="E2951" s="55" t="s">
        <v>2530</v>
      </c>
      <c r="F2951" s="113">
        <f>'update Rate'!F8</f>
        <v>1659.57</v>
      </c>
      <c r="G2951" s="113">
        <f>FLOOR(D2951*F2951,0.01)</f>
        <v>165.95000000000002</v>
      </c>
      <c r="H2951" s="125">
        <f>SUM(G2950+G2951)</f>
        <v>2295.9499999999998</v>
      </c>
    </row>
    <row r="2952" spans="1:8" ht="17.25">
      <c r="B2952" s="67"/>
      <c r="C2952" s="58"/>
      <c r="D2952" s="45"/>
      <c r="E2952" s="58"/>
      <c r="F2952" s="65"/>
      <c r="G2952" s="65"/>
      <c r="H2952" s="127"/>
    </row>
    <row r="2953" spans="1:8" ht="21.75" customHeight="1">
      <c r="F2953" s="42" t="s">
        <v>1708</v>
      </c>
      <c r="G2953" s="106"/>
      <c r="H2953" s="65">
        <f>SUM(H2949:H2952)</f>
        <v>11295.95</v>
      </c>
    </row>
    <row r="2954" spans="1:8" ht="16.5">
      <c r="B2954" s="1" t="s">
        <v>1710</v>
      </c>
      <c r="F2954" s="42" t="s">
        <v>1688</v>
      </c>
      <c r="G2954" s="106"/>
      <c r="H2954" s="103">
        <f>FLOOR(H2953*0.15,0.01)</f>
        <v>1694.39</v>
      </c>
    </row>
    <row r="2955" spans="1:8" ht="20.100000000000001" customHeight="1">
      <c r="A2955"/>
      <c r="B2955" s="147">
        <f>+H2955</f>
        <v>12990.34</v>
      </c>
      <c r="C2955" s="28" t="s">
        <v>3384</v>
      </c>
      <c r="D2955" s="103">
        <f>INT(B2955/B2956*100)/100</f>
        <v>129.9</v>
      </c>
      <c r="E2955" s="1" t="s">
        <v>3385</v>
      </c>
      <c r="F2955" s="42" t="s">
        <v>1711</v>
      </c>
      <c r="G2955" s="106"/>
      <c r="H2955" s="103">
        <f>SUM(H2953:H2954)</f>
        <v>12990.34</v>
      </c>
    </row>
    <row r="2956" spans="1:8" ht="20.100000000000001" customHeight="1">
      <c r="B2956" s="121">
        <v>100</v>
      </c>
    </row>
    <row r="2957" spans="1:8">
      <c r="A2957" s="33"/>
    </row>
    <row r="2958" spans="1:8">
      <c r="A2958" s="33"/>
    </row>
    <row r="2959" spans="1:8">
      <c r="A2959" s="33"/>
    </row>
    <row r="2960" spans="1:8" ht="12.75" customHeight="1">
      <c r="A2960" s="33"/>
    </row>
    <row r="2961" spans="1:8">
      <c r="A2961" s="32"/>
    </row>
    <row r="2962" spans="1:8" ht="19.5">
      <c r="A2962" s="282">
        <f>A2945+1</f>
        <v>178</v>
      </c>
      <c r="B2962" s="1076" t="s">
        <v>1179</v>
      </c>
      <c r="C2962" s="1077"/>
      <c r="D2962" s="1077"/>
      <c r="E2962" s="1077"/>
      <c r="F2962" s="1077"/>
      <c r="G2962" s="1077"/>
      <c r="H2962" s="1077"/>
    </row>
    <row r="2963" spans="1:8">
      <c r="A2963" s="1019" t="s">
        <v>4435</v>
      </c>
      <c r="B2963" s="1074" t="s">
        <v>1592</v>
      </c>
      <c r="C2963" s="1075"/>
      <c r="D2963" s="1075"/>
      <c r="E2963" s="1075"/>
      <c r="F2963" s="1075"/>
      <c r="G2963" s="1075"/>
      <c r="H2963" s="1075"/>
    </row>
    <row r="2964" spans="1:8" ht="31.5">
      <c r="B2964" s="70" t="s">
        <v>3340</v>
      </c>
      <c r="C2964" s="70" t="s">
        <v>3341</v>
      </c>
      <c r="D2964" s="70" t="s">
        <v>3342</v>
      </c>
      <c r="E2964" s="70" t="s">
        <v>3343</v>
      </c>
      <c r="F2964" s="70" t="s">
        <v>3344</v>
      </c>
      <c r="G2964" s="70" t="s">
        <v>3345</v>
      </c>
      <c r="H2964" s="70" t="s">
        <v>1704</v>
      </c>
    </row>
    <row r="2965" spans="1:8" ht="17.25">
      <c r="B2965" s="1067" t="s">
        <v>1705</v>
      </c>
      <c r="C2965" s="60" t="s">
        <v>610</v>
      </c>
      <c r="D2965" s="43">
        <v>10</v>
      </c>
      <c r="E2965" s="57" t="s">
        <v>1707</v>
      </c>
      <c r="F2965" s="111">
        <f>'update Rate'!F5</f>
        <v>525</v>
      </c>
      <c r="G2965" s="111">
        <f>FLOOR(D2965*F2965,0.01)</f>
        <v>5250</v>
      </c>
      <c r="H2965" s="112"/>
    </row>
    <row r="2966" spans="1:8" ht="17.25">
      <c r="B2966" s="1070"/>
      <c r="C2966" s="80" t="s">
        <v>1647</v>
      </c>
      <c r="D2966" s="45">
        <v>10</v>
      </c>
      <c r="E2966" s="58" t="s">
        <v>1707</v>
      </c>
      <c r="F2966" s="65">
        <f>'update Rate'!F4</f>
        <v>375</v>
      </c>
      <c r="G2966" s="65">
        <f>FLOOR(D2966*F2966,0.01)</f>
        <v>3750</v>
      </c>
      <c r="H2966" s="127">
        <f>SUM(G2965+G2966)</f>
        <v>9000</v>
      </c>
    </row>
    <row r="2967" spans="1:8" ht="17.25">
      <c r="B2967" s="78" t="s">
        <v>2330</v>
      </c>
      <c r="C2967" s="102" t="s">
        <v>1650</v>
      </c>
      <c r="D2967" s="48">
        <v>0.51800000000000002</v>
      </c>
      <c r="E2967" s="133" t="s">
        <v>804</v>
      </c>
      <c r="F2967" s="114">
        <f>'update Rate'!F15</f>
        <v>14200</v>
      </c>
      <c r="G2967" s="113">
        <f>FLOOR(D2967*F2967,0.01)</f>
        <v>7355.6</v>
      </c>
      <c r="H2967" s="125">
        <f>SUM(G2967)</f>
        <v>7355.6</v>
      </c>
    </row>
    <row r="2968" spans="1:8" ht="15.75">
      <c r="B2968" s="67"/>
      <c r="C2968" s="131"/>
      <c r="D2968" s="10"/>
      <c r="E2968" s="132"/>
      <c r="F2968" s="65"/>
      <c r="G2968" s="65"/>
      <c r="H2968" s="127"/>
    </row>
    <row r="2969" spans="1:8" ht="16.5">
      <c r="F2969" s="42" t="s">
        <v>1708</v>
      </c>
      <c r="G2969" s="106"/>
      <c r="H2969" s="65">
        <f>SUM(H2965:H2968)</f>
        <v>16355.6</v>
      </c>
    </row>
    <row r="2970" spans="1:8" ht="15" customHeight="1">
      <c r="B2970" s="1" t="s">
        <v>1710</v>
      </c>
      <c r="F2970" s="42" t="s">
        <v>1688</v>
      </c>
      <c r="G2970" s="106"/>
      <c r="H2970" s="103">
        <f>FLOOR(H2969*0.15,0.01)</f>
        <v>2453.34</v>
      </c>
    </row>
    <row r="2971" spans="1:8" ht="20.100000000000001" customHeight="1">
      <c r="A2971"/>
      <c r="B2971" s="147">
        <f>+H2971</f>
        <v>18808.940000000002</v>
      </c>
      <c r="C2971" s="28" t="s">
        <v>3384</v>
      </c>
      <c r="D2971" s="103">
        <f>INT(B2971/B2972*100)/100</f>
        <v>188.08</v>
      </c>
      <c r="E2971" s="1" t="s">
        <v>3385</v>
      </c>
      <c r="F2971" s="42" t="s">
        <v>1711</v>
      </c>
      <c r="G2971" s="106"/>
      <c r="H2971" s="103">
        <f>SUM(H2969:H2970)</f>
        <v>18808.940000000002</v>
      </c>
    </row>
    <row r="2972" spans="1:8" ht="20.100000000000001" customHeight="1">
      <c r="B2972" s="121">
        <v>100</v>
      </c>
    </row>
    <row r="2973" spans="1:8" ht="20.100000000000001" customHeight="1">
      <c r="B2973" s="121"/>
    </row>
    <row r="2974" spans="1:8" ht="15.75">
      <c r="B2974" s="121"/>
      <c r="F2974" s="42"/>
      <c r="G2974" s="42"/>
    </row>
    <row r="2975" spans="1:8" ht="19.5">
      <c r="A2975" s="282">
        <f>A2962+1</f>
        <v>179</v>
      </c>
      <c r="B2975" s="1076" t="s">
        <v>3888</v>
      </c>
      <c r="C2975" s="1077"/>
      <c r="D2975" s="1077"/>
      <c r="E2975" s="1077"/>
      <c r="F2975" s="1077"/>
      <c r="G2975" s="1077"/>
      <c r="H2975" s="1077"/>
    </row>
    <row r="2976" spans="1:8">
      <c r="A2976" s="1019" t="s">
        <v>4436</v>
      </c>
      <c r="B2976" s="1074" t="s">
        <v>3889</v>
      </c>
      <c r="C2976" s="1075"/>
      <c r="D2976" s="1075"/>
      <c r="E2976" s="1075"/>
      <c r="F2976" s="1075"/>
      <c r="G2976" s="1075"/>
      <c r="H2976" s="1075"/>
    </row>
    <row r="2977" spans="1:8" ht="31.5">
      <c r="B2977" s="70" t="s">
        <v>3340</v>
      </c>
      <c r="C2977" s="70" t="s">
        <v>3341</v>
      </c>
      <c r="D2977" s="70" t="s">
        <v>3342</v>
      </c>
      <c r="E2977" s="70" t="s">
        <v>3343</v>
      </c>
      <c r="F2977" s="70" t="s">
        <v>3344</v>
      </c>
      <c r="G2977" s="70" t="s">
        <v>3345</v>
      </c>
      <c r="H2977" s="70" t="s">
        <v>1704</v>
      </c>
    </row>
    <row r="2978" spans="1:8" ht="17.25">
      <c r="B2978" s="1067" t="s">
        <v>1705</v>
      </c>
      <c r="C2978" s="775" t="s">
        <v>610</v>
      </c>
      <c r="D2978" s="48">
        <v>2.5000000000000001E-2</v>
      </c>
      <c r="E2978" s="57" t="s">
        <v>1707</v>
      </c>
      <c r="F2978" s="111">
        <f>'update Rate'!F5</f>
        <v>525</v>
      </c>
      <c r="G2978" s="111">
        <f>FLOOR(D2978*F2978,0.01)</f>
        <v>13.120000000000001</v>
      </c>
      <c r="H2978" s="777"/>
    </row>
    <row r="2979" spans="1:8" ht="17.25">
      <c r="B2979" s="1070"/>
      <c r="C2979" s="776" t="s">
        <v>1647</v>
      </c>
      <c r="D2979" s="51">
        <v>0.01</v>
      </c>
      <c r="E2979" s="58" t="s">
        <v>1707</v>
      </c>
      <c r="F2979" s="65">
        <f>'update Rate'!F4</f>
        <v>375</v>
      </c>
      <c r="G2979" s="65">
        <f>FLOOR(D2979*F2979,0.01)</f>
        <v>3.75</v>
      </c>
      <c r="H2979" s="779">
        <f>SUM(G2978+G2979)</f>
        <v>16.87</v>
      </c>
    </row>
    <row r="2980" spans="1:8" ht="17.25">
      <c r="B2980" s="1069" t="s">
        <v>2330</v>
      </c>
      <c r="C2980" s="57" t="s">
        <v>1650</v>
      </c>
      <c r="D2980" s="48">
        <v>7.0000000000000001E-3</v>
      </c>
      <c r="E2980" s="57" t="s">
        <v>804</v>
      </c>
      <c r="F2980" s="114">
        <f>'update Rate'!F15</f>
        <v>14200</v>
      </c>
      <c r="G2980" s="114">
        <f>FLOOR(D2980*F2980,0.01)</f>
        <v>99.4</v>
      </c>
      <c r="H2980" s="777"/>
    </row>
    <row r="2981" spans="1:8" ht="20.25" customHeight="1">
      <c r="B2981" s="1095"/>
      <c r="C2981" s="55" t="s">
        <v>2366</v>
      </c>
      <c r="D2981" s="54">
        <v>4.0000000000000001E-3</v>
      </c>
      <c r="E2981" s="55" t="s">
        <v>2530</v>
      </c>
      <c r="F2981" s="113">
        <f>'update Rate'!F8</f>
        <v>1659.57</v>
      </c>
      <c r="G2981" s="113">
        <f>FLOOR(D2981*F2981,0.01)</f>
        <v>6.63</v>
      </c>
      <c r="H2981" s="778"/>
    </row>
    <row r="2982" spans="1:8" ht="17.25">
      <c r="B2982" s="1070"/>
      <c r="C2982" s="58" t="s">
        <v>3890</v>
      </c>
      <c r="D2982" s="300">
        <v>1E-4</v>
      </c>
      <c r="E2982" s="58" t="s">
        <v>3136</v>
      </c>
      <c r="F2982" s="594">
        <f>'update Rate'!F388</f>
        <v>300</v>
      </c>
      <c r="G2982" s="65">
        <f>FLOOR(D2982*F2982,0.01)</f>
        <v>0.03</v>
      </c>
      <c r="H2982" s="779">
        <f>SUM(G2980:G2982)</f>
        <v>106.06</v>
      </c>
    </row>
    <row r="2983" spans="1:8" ht="15.75">
      <c r="F2983" s="42" t="s">
        <v>1708</v>
      </c>
      <c r="G2983" s="42"/>
      <c r="H2983" s="65">
        <f>SUM(H2979:H2982)</f>
        <v>122.93</v>
      </c>
    </row>
    <row r="2984" spans="1:8" ht="15.75">
      <c r="B2984" s="1" t="s">
        <v>1710</v>
      </c>
      <c r="F2984" s="42" t="s">
        <v>1688</v>
      </c>
      <c r="G2984" s="42"/>
      <c r="H2984" s="103">
        <f>FLOOR(H2983*0.15,0.01)</f>
        <v>18.43</v>
      </c>
    </row>
    <row r="2985" spans="1:8" ht="15.75">
      <c r="A2985" s="28" t="s">
        <v>3384</v>
      </c>
      <c r="B2985" s="103">
        <f>+H2985</f>
        <v>141.36000000000001</v>
      </c>
      <c r="C2985" s="1" t="s">
        <v>3385</v>
      </c>
      <c r="D2985" s="151"/>
      <c r="F2985" s="42" t="s">
        <v>1711</v>
      </c>
      <c r="G2985" s="42"/>
      <c r="H2985" s="103">
        <f>SUM(H2983:H2984)</f>
        <v>141.36000000000001</v>
      </c>
    </row>
    <row r="2986" spans="1:8" ht="13.5" customHeight="1">
      <c r="A2986" s="28"/>
      <c r="B2986" s="151"/>
      <c r="D2986" s="151"/>
      <c r="F2986" s="42"/>
      <c r="G2986" s="42"/>
      <c r="H2986" s="151"/>
    </row>
    <row r="2987" spans="1:8" ht="19.5">
      <c r="A2987" s="220"/>
      <c r="B2987" s="1089" t="s">
        <v>1942</v>
      </c>
      <c r="C2987" s="1089"/>
      <c r="D2987" s="1089"/>
      <c r="E2987" s="1089"/>
      <c r="F2987" s="1089"/>
      <c r="G2987" s="1089"/>
      <c r="H2987" s="1089"/>
    </row>
    <row r="2988" spans="1:8" ht="19.5">
      <c r="A2988" s="145">
        <f>A2975+1</f>
        <v>180</v>
      </c>
      <c r="B2988" s="1089" t="s">
        <v>1943</v>
      </c>
      <c r="C2988" s="1089"/>
      <c r="D2988" s="1089"/>
      <c r="E2988" s="1089"/>
      <c r="F2988" s="1089"/>
      <c r="G2988" s="1089"/>
      <c r="H2988" s="1089"/>
    </row>
    <row r="2989" spans="1:8" ht="20.100000000000001" customHeight="1">
      <c r="A2989" s="1019" t="s">
        <v>4437</v>
      </c>
      <c r="B2989" s="1092" t="s">
        <v>2620</v>
      </c>
      <c r="C2989" s="1092"/>
      <c r="D2989" s="1092"/>
      <c r="E2989" s="1092"/>
      <c r="F2989" s="1092"/>
      <c r="G2989" s="1092"/>
      <c r="H2989" s="1092"/>
    </row>
    <row r="2990" spans="1:8" ht="31.5">
      <c r="B2990" s="70" t="s">
        <v>3340</v>
      </c>
      <c r="C2990" s="70" t="s">
        <v>3341</v>
      </c>
      <c r="D2990" s="70" t="s">
        <v>3342</v>
      </c>
      <c r="E2990" s="70" t="s">
        <v>3343</v>
      </c>
      <c r="F2990" s="70" t="s">
        <v>3344</v>
      </c>
      <c r="G2990" s="70" t="s">
        <v>3345</v>
      </c>
      <c r="H2990" s="70" t="s">
        <v>1704</v>
      </c>
    </row>
    <row r="2991" spans="1:8" ht="20.100000000000001" customHeight="1">
      <c r="B2991" s="55" t="s">
        <v>2330</v>
      </c>
      <c r="C2991" s="62" t="s">
        <v>1944</v>
      </c>
      <c r="D2991" s="44">
        <v>1</v>
      </c>
      <c r="E2991" s="55" t="s">
        <v>1945</v>
      </c>
      <c r="F2991" s="244">
        <f>'update Rate'!$F$205</f>
        <v>550</v>
      </c>
      <c r="G2991" s="244">
        <f>FLOOR(D2991*F2991,0.01)</f>
        <v>550</v>
      </c>
      <c r="H2991" s="244"/>
    </row>
    <row r="2992" spans="1:8" ht="20.100000000000001" customHeight="1">
      <c r="B2992" s="140" t="s">
        <v>424</v>
      </c>
      <c r="C2992" s="58"/>
      <c r="D2992" s="45"/>
      <c r="E2992" s="58"/>
      <c r="F2992" s="245"/>
      <c r="G2992" s="246"/>
      <c r="H2992" s="245">
        <f>SUM(G2991:G2992)</f>
        <v>550</v>
      </c>
    </row>
    <row r="2993" spans="1:8" ht="20.100000000000001" customHeight="1">
      <c r="F2993" s="42" t="s">
        <v>1708</v>
      </c>
      <c r="G2993" s="42"/>
      <c r="H2993" s="247">
        <f>SUM(H2991:H2992)</f>
        <v>550</v>
      </c>
    </row>
    <row r="2994" spans="1:8" ht="15.75">
      <c r="B2994" s="33" t="s">
        <v>1710</v>
      </c>
      <c r="F2994" s="42" t="s">
        <v>1689</v>
      </c>
      <c r="G2994" s="42"/>
      <c r="H2994" s="247">
        <f>FLOOR(H2993*0.15,0.01)</f>
        <v>82.5</v>
      </c>
    </row>
    <row r="2995" spans="1:8" ht="15.75">
      <c r="A2995" s="233" t="s">
        <v>3384</v>
      </c>
      <c r="B2995" s="103">
        <f>H2995</f>
        <v>632.5</v>
      </c>
      <c r="C2995" s="1" t="s">
        <v>3385</v>
      </c>
      <c r="F2995" s="42" t="s">
        <v>1711</v>
      </c>
      <c r="G2995" s="42"/>
      <c r="H2995" s="247">
        <f>SUM(H2993:H2994)</f>
        <v>632.5</v>
      </c>
    </row>
    <row r="2996" spans="1:8" ht="15.75">
      <c r="B2996" s="121"/>
      <c r="F2996" s="42"/>
      <c r="G2996" s="42"/>
    </row>
    <row r="2997" spans="1:8" ht="19.5">
      <c r="A2997" s="282">
        <f>A2988+1</f>
        <v>181</v>
      </c>
      <c r="B2997" s="1076" t="s">
        <v>3891</v>
      </c>
      <c r="C2997" s="1077"/>
      <c r="D2997" s="1077"/>
      <c r="E2997" s="1077"/>
      <c r="F2997" s="1077"/>
      <c r="G2997" s="1077"/>
      <c r="H2997" s="1077"/>
    </row>
    <row r="2998" spans="1:8">
      <c r="A2998" s="1019" t="s">
        <v>4438</v>
      </c>
      <c r="B2998" s="1074" t="s">
        <v>1594</v>
      </c>
      <c r="C2998" s="1075"/>
      <c r="D2998" s="1075"/>
      <c r="E2998" s="1075"/>
      <c r="F2998" s="1075"/>
      <c r="G2998" s="1075"/>
      <c r="H2998" s="1075"/>
    </row>
    <row r="2999" spans="1:8" ht="31.5">
      <c r="B2999" s="70" t="s">
        <v>3340</v>
      </c>
      <c r="C2999" s="70" t="s">
        <v>3341</v>
      </c>
      <c r="D2999" s="70" t="s">
        <v>3342</v>
      </c>
      <c r="E2999" s="70" t="s">
        <v>3343</v>
      </c>
      <c r="F2999" s="70" t="s">
        <v>3344</v>
      </c>
      <c r="G2999" s="70" t="s">
        <v>3345</v>
      </c>
      <c r="H2999" s="70" t="s">
        <v>1704</v>
      </c>
    </row>
    <row r="3000" spans="1:8" ht="17.25">
      <c r="B3000" s="1067" t="s">
        <v>1705</v>
      </c>
      <c r="C3000" s="775" t="s">
        <v>610</v>
      </c>
      <c r="D3000" s="43">
        <v>1</v>
      </c>
      <c r="E3000" s="57" t="s">
        <v>1707</v>
      </c>
      <c r="F3000" s="111">
        <f>'update Rate'!F5</f>
        <v>525</v>
      </c>
      <c r="G3000" s="111">
        <f>FLOOR(D3000*F3000,0.01)</f>
        <v>525</v>
      </c>
      <c r="H3000" s="777"/>
    </row>
    <row r="3001" spans="1:8" ht="17.25">
      <c r="B3001" s="1070"/>
      <c r="C3001" s="776" t="s">
        <v>1647</v>
      </c>
      <c r="D3001" s="45">
        <v>1</v>
      </c>
      <c r="E3001" s="58" t="s">
        <v>1707</v>
      </c>
      <c r="F3001" s="65">
        <f>'update Rate'!F4</f>
        <v>375</v>
      </c>
      <c r="G3001" s="65">
        <f>FLOOR(D3001*F3001,0.01)</f>
        <v>375</v>
      </c>
      <c r="H3001" s="779">
        <f>SUM(G3000+G3001)</f>
        <v>900</v>
      </c>
    </row>
    <row r="3002" spans="1:8" ht="17.25">
      <c r="B3002" s="68" t="s">
        <v>2330</v>
      </c>
      <c r="C3002" s="162" t="s">
        <v>3892</v>
      </c>
      <c r="D3002" s="792">
        <v>10.64</v>
      </c>
      <c r="E3002" s="689" t="s">
        <v>3096</v>
      </c>
      <c r="F3002" s="596">
        <f>'update Rate'!F422</f>
        <v>58</v>
      </c>
      <c r="G3002" s="103">
        <f>FLOOR(D3002*F3002,0.01)</f>
        <v>617.12</v>
      </c>
      <c r="H3002" s="130">
        <f>SUM(G3002)</f>
        <v>617.12</v>
      </c>
    </row>
    <row r="3003" spans="1:8" ht="20.100000000000001" customHeight="1">
      <c r="F3003" s="42" t="s">
        <v>1708</v>
      </c>
      <c r="G3003" s="106"/>
      <c r="H3003" s="65">
        <f>SUM(H3000:H3002)</f>
        <v>1517.12</v>
      </c>
    </row>
    <row r="3004" spans="1:8" ht="20.100000000000001" customHeight="1">
      <c r="B3004" s="1" t="s">
        <v>1710</v>
      </c>
      <c r="F3004" s="42" t="s">
        <v>1688</v>
      </c>
      <c r="G3004" s="106"/>
      <c r="H3004" s="103">
        <f>FLOOR(H3003*0.15,0.01)</f>
        <v>227.56</v>
      </c>
    </row>
    <row r="3005" spans="1:8" ht="20.100000000000001" customHeight="1">
      <c r="A3005"/>
      <c r="B3005" s="147">
        <f>+H3005</f>
        <v>1744.6799999999998</v>
      </c>
      <c r="C3005" s="28" t="s">
        <v>3384</v>
      </c>
      <c r="D3005" s="103">
        <f>INT(B3005/B3006*100)/100</f>
        <v>174.46</v>
      </c>
      <c r="E3005" s="1" t="s">
        <v>3385</v>
      </c>
      <c r="F3005" s="42" t="s">
        <v>1711</v>
      </c>
      <c r="G3005" s="106"/>
      <c r="H3005" s="103">
        <f>SUM(H3003:H3004)</f>
        <v>1744.6799999999998</v>
      </c>
    </row>
    <row r="3006" spans="1:8" ht="20.100000000000001" customHeight="1">
      <c r="B3006" s="121">
        <v>10</v>
      </c>
    </row>
    <row r="3007" spans="1:8" ht="20.100000000000001" customHeight="1">
      <c r="B3007" s="121"/>
    </row>
    <row r="3008" spans="1:8" ht="20.100000000000001" customHeight="1">
      <c r="A3008" s="781">
        <f>A2997+1</f>
        <v>182</v>
      </c>
      <c r="B3008" s="1160" t="s">
        <v>1234</v>
      </c>
      <c r="C3008" s="1161"/>
      <c r="D3008" s="1161"/>
      <c r="E3008" s="1161"/>
      <c r="F3008" s="1161"/>
      <c r="G3008" s="1161"/>
      <c r="H3008" s="1161"/>
    </row>
    <row r="3009" spans="1:8" ht="20.100000000000001" customHeight="1">
      <c r="A3009" s="1019" t="s">
        <v>4439</v>
      </c>
      <c r="B3009" s="1167" t="s">
        <v>1592</v>
      </c>
      <c r="C3009" s="1171"/>
      <c r="D3009" s="1171"/>
      <c r="E3009" s="1171"/>
      <c r="F3009" s="1171"/>
      <c r="G3009" s="1171"/>
      <c r="H3009" s="1171"/>
    </row>
    <row r="3010" spans="1:8" ht="31.5">
      <c r="B3010" s="70" t="s">
        <v>3340</v>
      </c>
      <c r="C3010" s="70" t="s">
        <v>3341</v>
      </c>
      <c r="D3010" s="70" t="s">
        <v>3342</v>
      </c>
      <c r="E3010" s="70" t="s">
        <v>3343</v>
      </c>
      <c r="F3010" s="70" t="s">
        <v>3344</v>
      </c>
      <c r="G3010" s="70" t="s">
        <v>3345</v>
      </c>
      <c r="H3010" s="70" t="s">
        <v>1704</v>
      </c>
    </row>
    <row r="3011" spans="1:8" ht="17.25">
      <c r="B3011" s="1067" t="s">
        <v>1705</v>
      </c>
      <c r="C3011" s="60" t="s">
        <v>610</v>
      </c>
      <c r="D3011" s="48">
        <v>1.875</v>
      </c>
      <c r="E3011" s="57" t="s">
        <v>1707</v>
      </c>
      <c r="F3011" s="111">
        <f>'update Rate'!F5</f>
        <v>525</v>
      </c>
      <c r="G3011" s="111">
        <f>FLOOR(D3011*F3011,0.01)</f>
        <v>984.37</v>
      </c>
      <c r="H3011" s="112"/>
    </row>
    <row r="3012" spans="1:8" ht="17.25">
      <c r="B3012" s="1070"/>
      <c r="C3012" s="80" t="s">
        <v>1647</v>
      </c>
      <c r="D3012" s="51">
        <v>1.375</v>
      </c>
      <c r="E3012" s="58" t="s">
        <v>1707</v>
      </c>
      <c r="F3012" s="65">
        <f>'update Rate'!F4</f>
        <v>375</v>
      </c>
      <c r="G3012" s="65">
        <f>FLOOR(D3012*F3012,0.01)</f>
        <v>515.62</v>
      </c>
      <c r="H3012" s="127">
        <f>SUM(G3011+G3012)</f>
        <v>1499.99</v>
      </c>
    </row>
    <row r="3013" spans="1:8" ht="20.100000000000001" customHeight="1">
      <c r="B3013" s="1069" t="s">
        <v>2330</v>
      </c>
      <c r="C3013" s="57" t="s">
        <v>1235</v>
      </c>
      <c r="D3013" s="43">
        <v>22</v>
      </c>
      <c r="E3013" s="57" t="s">
        <v>3096</v>
      </c>
      <c r="F3013" s="113">
        <f>'update Rate'!$F$140</f>
        <v>30</v>
      </c>
      <c r="G3013" s="114">
        <f>FLOOR(D3013*F3013,0.01)</f>
        <v>660</v>
      </c>
      <c r="H3013" s="112"/>
    </row>
    <row r="3014" spans="1:8" ht="20.100000000000001" customHeight="1">
      <c r="B3014" s="1070"/>
      <c r="C3014" s="58" t="s">
        <v>2277</v>
      </c>
      <c r="D3014" s="45">
        <v>0.88</v>
      </c>
      <c r="E3014" s="58" t="s">
        <v>3096</v>
      </c>
      <c r="F3014" s="65">
        <f>'update Rate'!F146</f>
        <v>220</v>
      </c>
      <c r="G3014" s="65">
        <f>FLOOR(D3014*F3014,0.01)</f>
        <v>193.6</v>
      </c>
      <c r="H3014" s="127">
        <f>SUM(G3013:G3014)</f>
        <v>853.6</v>
      </c>
    </row>
    <row r="3015" spans="1:8" ht="16.5">
      <c r="F3015" s="42" t="s">
        <v>1708</v>
      </c>
      <c r="G3015" s="138"/>
      <c r="H3015" s="65">
        <f>SUM(H3014,H3012)</f>
        <v>2353.59</v>
      </c>
    </row>
    <row r="3016" spans="1:8" ht="20.100000000000001" customHeight="1">
      <c r="B3016" s="1" t="s">
        <v>1710</v>
      </c>
      <c r="F3016" s="42" t="s">
        <v>1689</v>
      </c>
      <c r="G3016" s="138"/>
      <c r="H3016" s="103">
        <f>FLOOR(H3015*0.15,0.01)</f>
        <v>353.03000000000003</v>
      </c>
    </row>
    <row r="3017" spans="1:8" ht="16.5">
      <c r="A3017"/>
      <c r="B3017" s="147">
        <f>+H3017</f>
        <v>2706.6200000000003</v>
      </c>
      <c r="C3017" s="28" t="s">
        <v>3384</v>
      </c>
      <c r="D3017" s="103">
        <f>INT(B3017/B3018*100)/100</f>
        <v>27.06</v>
      </c>
      <c r="E3017" s="1" t="s">
        <v>3385</v>
      </c>
      <c r="F3017" s="42" t="s">
        <v>1711</v>
      </c>
      <c r="G3017" s="138"/>
      <c r="H3017" s="103">
        <f>SUM(H3015:H3016)</f>
        <v>2706.6200000000003</v>
      </c>
    </row>
    <row r="3018" spans="1:8" ht="20.100000000000001" customHeight="1">
      <c r="B3018" s="121">
        <v>100</v>
      </c>
    </row>
    <row r="3019" spans="1:8">
      <c r="B3019" s="121"/>
    </row>
    <row r="3020" spans="1:8" ht="19.5">
      <c r="A3020" s="282">
        <f>+A3008+1</f>
        <v>183</v>
      </c>
      <c r="B3020" s="1076" t="s">
        <v>2278</v>
      </c>
      <c r="C3020" s="1077"/>
      <c r="D3020" s="1077"/>
      <c r="E3020" s="1077"/>
      <c r="F3020" s="1077"/>
      <c r="G3020" s="1077"/>
      <c r="H3020" s="1077"/>
    </row>
    <row r="3021" spans="1:8" ht="20.100000000000001" customHeight="1">
      <c r="A3021" s="1019" t="s">
        <v>4439</v>
      </c>
      <c r="B3021" s="1100" t="s">
        <v>1592</v>
      </c>
      <c r="C3021" s="1083"/>
      <c r="D3021" s="1083"/>
      <c r="E3021" s="1083"/>
      <c r="F3021" s="1083"/>
      <c r="G3021" s="1083"/>
      <c r="H3021" s="1083"/>
    </row>
    <row r="3022" spans="1:8" ht="31.5">
      <c r="B3022" s="70" t="s">
        <v>3340</v>
      </c>
      <c r="C3022" s="70" t="s">
        <v>3341</v>
      </c>
      <c r="D3022" s="70" t="s">
        <v>3342</v>
      </c>
      <c r="E3022" s="70" t="s">
        <v>3343</v>
      </c>
      <c r="F3022" s="70" t="s">
        <v>3344</v>
      </c>
      <c r="G3022" s="70" t="s">
        <v>3345</v>
      </c>
      <c r="H3022" s="70" t="s">
        <v>1704</v>
      </c>
    </row>
    <row r="3023" spans="1:8" ht="20.100000000000001" customHeight="1">
      <c r="B3023" s="1067" t="s">
        <v>1705</v>
      </c>
      <c r="C3023" s="60" t="s">
        <v>610</v>
      </c>
      <c r="D3023" s="43">
        <v>1.5</v>
      </c>
      <c r="E3023" s="57" t="s">
        <v>1707</v>
      </c>
      <c r="F3023" s="111">
        <f>'update Rate'!F5</f>
        <v>525</v>
      </c>
      <c r="G3023" s="111">
        <f>FLOOR(D3023*F3023,0.01)</f>
        <v>787.5</v>
      </c>
      <c r="H3023" s="112"/>
    </row>
    <row r="3024" spans="1:8" ht="20.100000000000001" customHeight="1">
      <c r="B3024" s="1070"/>
      <c r="C3024" s="80" t="s">
        <v>1647</v>
      </c>
      <c r="D3024" s="45">
        <v>1.1000000000000001</v>
      </c>
      <c r="E3024" s="58" t="s">
        <v>1707</v>
      </c>
      <c r="F3024" s="65">
        <f>'update Rate'!F4</f>
        <v>375</v>
      </c>
      <c r="G3024" s="65">
        <f>FLOOR(D3024*F3024,0.01)</f>
        <v>412.5</v>
      </c>
      <c r="H3024" s="127">
        <f>SUM(G3023+G3024)</f>
        <v>1200</v>
      </c>
    </row>
    <row r="3025" spans="1:8" ht="17.25">
      <c r="B3025" s="1069" t="s">
        <v>2330</v>
      </c>
      <c r="C3025" s="57" t="s">
        <v>1235</v>
      </c>
      <c r="D3025" s="43">
        <v>22</v>
      </c>
      <c r="E3025" s="57" t="s">
        <v>3096</v>
      </c>
      <c r="F3025" s="113">
        <f>'update Rate'!$F$140</f>
        <v>30</v>
      </c>
      <c r="G3025" s="114">
        <f>FLOOR(D3025*F3025,0.01)</f>
        <v>660</v>
      </c>
      <c r="H3025" s="112"/>
    </row>
    <row r="3026" spans="1:8" ht="20.100000000000001" customHeight="1">
      <c r="B3026" s="1070"/>
      <c r="C3026" s="58" t="s">
        <v>2277</v>
      </c>
      <c r="D3026" s="45">
        <v>0.88</v>
      </c>
      <c r="E3026" s="58" t="s">
        <v>3096</v>
      </c>
      <c r="F3026" s="65">
        <f>'update Rate'!F146</f>
        <v>220</v>
      </c>
      <c r="G3026" s="65">
        <f>FLOOR(D3026*F3026,0.01)</f>
        <v>193.6</v>
      </c>
      <c r="H3026" s="127">
        <f>SUM(G3025:G3026)</f>
        <v>853.6</v>
      </c>
    </row>
    <row r="3027" spans="1:8" ht="16.5">
      <c r="F3027" s="42" t="s">
        <v>1708</v>
      </c>
      <c r="G3027" s="138"/>
      <c r="H3027" s="65">
        <f>SUM(H3026,H3024)</f>
        <v>2053.6</v>
      </c>
    </row>
    <row r="3028" spans="1:8" ht="16.5">
      <c r="B3028" s="1" t="s">
        <v>1710</v>
      </c>
      <c r="F3028" s="42" t="s">
        <v>1689</v>
      </c>
      <c r="G3028" s="138"/>
      <c r="H3028" s="103">
        <f>FLOOR(H3027*0.15,0.01)</f>
        <v>308.04000000000002</v>
      </c>
    </row>
    <row r="3029" spans="1:8" ht="16.5">
      <c r="A3029"/>
      <c r="B3029" s="147">
        <f>+H3029</f>
        <v>2361.64</v>
      </c>
      <c r="C3029" s="28" t="s">
        <v>3384</v>
      </c>
      <c r="D3029" s="103">
        <f>INT(B3029/B3030*100)/100</f>
        <v>23.61</v>
      </c>
      <c r="E3029" s="1" t="s">
        <v>3385</v>
      </c>
      <c r="F3029" s="42" t="s">
        <v>1711</v>
      </c>
      <c r="G3029" s="138"/>
      <c r="H3029" s="103">
        <f>SUM(H3027:H3028)</f>
        <v>2361.64</v>
      </c>
    </row>
    <row r="3030" spans="1:8" ht="20.100000000000001" customHeight="1">
      <c r="B3030" s="121">
        <v>100</v>
      </c>
    </row>
    <row r="3031" spans="1:8">
      <c r="B3031" s="121"/>
    </row>
    <row r="3032" spans="1:8">
      <c r="B3032" s="121"/>
    </row>
    <row r="3033" spans="1:8">
      <c r="B3033" s="121"/>
    </row>
    <row r="3034" spans="1:8" ht="20.100000000000001" customHeight="1">
      <c r="A3034" s="32"/>
    </row>
    <row r="3035" spans="1:8" ht="20.100000000000001" customHeight="1">
      <c r="A3035" s="282">
        <f>+A3020+1</f>
        <v>184</v>
      </c>
      <c r="B3035" s="1076" t="s">
        <v>2279</v>
      </c>
      <c r="C3035" s="1077"/>
      <c r="D3035" s="1077"/>
      <c r="E3035" s="1077"/>
      <c r="F3035" s="1077"/>
      <c r="G3035" s="1077"/>
      <c r="H3035" s="1077"/>
    </row>
    <row r="3036" spans="1:8">
      <c r="A3036" s="1019" t="s">
        <v>4439</v>
      </c>
      <c r="B3036" s="1074" t="s">
        <v>1592</v>
      </c>
      <c r="C3036" s="1075"/>
      <c r="D3036" s="1075"/>
      <c r="E3036" s="1075"/>
      <c r="F3036" s="1075"/>
      <c r="G3036" s="1075"/>
      <c r="H3036" s="1075"/>
    </row>
    <row r="3037" spans="1:8" ht="31.5">
      <c r="B3037" s="70" t="s">
        <v>3340</v>
      </c>
      <c r="C3037" s="70" t="s">
        <v>3341</v>
      </c>
      <c r="D3037" s="70" t="s">
        <v>3342</v>
      </c>
      <c r="E3037" s="70" t="s">
        <v>3343</v>
      </c>
      <c r="F3037" s="70" t="s">
        <v>3344</v>
      </c>
      <c r="G3037" s="70" t="s">
        <v>3345</v>
      </c>
      <c r="H3037" s="70" t="s">
        <v>1704</v>
      </c>
    </row>
    <row r="3038" spans="1:8" ht="17.25">
      <c r="B3038" s="1067" t="s">
        <v>1705</v>
      </c>
      <c r="C3038" s="60" t="s">
        <v>610</v>
      </c>
      <c r="D3038" s="43">
        <v>3.75</v>
      </c>
      <c r="E3038" s="57" t="s">
        <v>1707</v>
      </c>
      <c r="F3038" s="111">
        <f>'update Rate'!F5</f>
        <v>525</v>
      </c>
      <c r="G3038" s="111">
        <f>FLOOR(D3038*F3038,0.01)</f>
        <v>1968.75</v>
      </c>
      <c r="H3038" s="112"/>
    </row>
    <row r="3039" spans="1:8" ht="17.25">
      <c r="B3039" s="1070"/>
      <c r="C3039" s="80" t="s">
        <v>1647</v>
      </c>
      <c r="D3039" s="45">
        <v>3.37</v>
      </c>
      <c r="E3039" s="58" t="s">
        <v>1707</v>
      </c>
      <c r="F3039" s="65">
        <f>'update Rate'!F4</f>
        <v>375</v>
      </c>
      <c r="G3039" s="65">
        <f>FLOOR(D3039*F3039,0.01)</f>
        <v>1263.75</v>
      </c>
      <c r="H3039" s="127">
        <f>SUM(G3038+G3039)</f>
        <v>3232.5</v>
      </c>
    </row>
    <row r="3040" spans="1:8" ht="17.25">
      <c r="B3040" s="1069" t="s">
        <v>2330</v>
      </c>
      <c r="C3040" s="57" t="s">
        <v>1235</v>
      </c>
      <c r="D3040" s="43">
        <v>32</v>
      </c>
      <c r="E3040" s="57" t="s">
        <v>3096</v>
      </c>
      <c r="F3040" s="113">
        <f>'update Rate'!$F$140</f>
        <v>30</v>
      </c>
      <c r="G3040" s="114">
        <f>FLOOR(D3040*F3040,0.01)</f>
        <v>960</v>
      </c>
      <c r="H3040" s="112"/>
    </row>
    <row r="3041" spans="1:8" ht="20.100000000000001" customHeight="1">
      <c r="B3041" s="1070"/>
      <c r="C3041" s="58" t="s">
        <v>2277</v>
      </c>
      <c r="D3041" s="45">
        <v>1.28</v>
      </c>
      <c r="E3041" s="58" t="s">
        <v>3096</v>
      </c>
      <c r="F3041" s="65">
        <f>'update Rate'!F146</f>
        <v>220</v>
      </c>
      <c r="G3041" s="65">
        <f>FLOOR(D3041*F3041,0.01)</f>
        <v>281.60000000000002</v>
      </c>
      <c r="H3041" s="127">
        <f>SUM(G3040:G3041)</f>
        <v>1241.5999999999999</v>
      </c>
    </row>
    <row r="3042" spans="1:8" ht="20.100000000000001" customHeight="1">
      <c r="F3042" s="42" t="s">
        <v>1708</v>
      </c>
      <c r="G3042" s="138"/>
      <c r="H3042" s="65">
        <f>SUM(H3041,H3039)</f>
        <v>4474.1000000000004</v>
      </c>
    </row>
    <row r="3043" spans="1:8" ht="16.5">
      <c r="B3043" s="1" t="s">
        <v>1710</v>
      </c>
      <c r="F3043" s="42" t="s">
        <v>1689</v>
      </c>
      <c r="G3043" s="138"/>
      <c r="H3043" s="103">
        <f>FLOOR(H3042*0.15,0.01)</f>
        <v>671.11</v>
      </c>
    </row>
    <row r="3044" spans="1:8" ht="16.5">
      <c r="A3044"/>
      <c r="B3044" s="147">
        <f>+H3044</f>
        <v>5145.21</v>
      </c>
      <c r="C3044" s="28" t="s">
        <v>3384</v>
      </c>
      <c r="D3044" s="103">
        <f>INT(B3044/B3045*100)/100</f>
        <v>51.45</v>
      </c>
      <c r="E3044" s="1" t="s">
        <v>3385</v>
      </c>
      <c r="F3044" s="42" t="s">
        <v>1711</v>
      </c>
      <c r="G3044" s="138"/>
      <c r="H3044" s="103">
        <f>SUM(H3042:H3043)</f>
        <v>5145.21</v>
      </c>
    </row>
    <row r="3045" spans="1:8" ht="16.5" customHeight="1">
      <c r="B3045" s="121">
        <v>100</v>
      </c>
    </row>
    <row r="3046" spans="1:8" ht="16.5" customHeight="1">
      <c r="B3046" s="121"/>
    </row>
    <row r="3047" spans="1:8" ht="16.5" customHeight="1">
      <c r="B3047" s="121"/>
    </row>
    <row r="3048" spans="1:8" ht="20.100000000000001" customHeight="1">
      <c r="A3048" s="33"/>
    </row>
    <row r="3049" spans="1:8" ht="19.5">
      <c r="A3049" s="282">
        <f>+A3035+1</f>
        <v>185</v>
      </c>
      <c r="B3049" s="1076" t="s">
        <v>3893</v>
      </c>
      <c r="C3049" s="1077"/>
      <c r="D3049" s="1077"/>
      <c r="E3049" s="1077"/>
      <c r="F3049" s="1077"/>
      <c r="G3049" s="1077"/>
      <c r="H3049" s="1077"/>
    </row>
    <row r="3050" spans="1:8">
      <c r="A3050" s="1019" t="s">
        <v>4439</v>
      </c>
      <c r="B3050" s="1074" t="s">
        <v>1592</v>
      </c>
      <c r="C3050" s="1075"/>
      <c r="D3050" s="1075"/>
      <c r="E3050" s="1075"/>
      <c r="F3050" s="1075"/>
      <c r="G3050" s="1075"/>
      <c r="H3050" s="1075"/>
    </row>
    <row r="3051" spans="1:8" ht="31.5">
      <c r="B3051" s="70" t="s">
        <v>3340</v>
      </c>
      <c r="C3051" s="70" t="s">
        <v>3341</v>
      </c>
      <c r="D3051" s="70" t="s">
        <v>3342</v>
      </c>
      <c r="E3051" s="70" t="s">
        <v>3343</v>
      </c>
      <c r="F3051" s="70" t="s">
        <v>3344</v>
      </c>
      <c r="G3051" s="70" t="s">
        <v>3345</v>
      </c>
      <c r="H3051" s="70" t="s">
        <v>1704</v>
      </c>
    </row>
    <row r="3052" spans="1:8" ht="17.25">
      <c r="B3052" s="1067" t="s">
        <v>1705</v>
      </c>
      <c r="C3052" s="60" t="s">
        <v>610</v>
      </c>
      <c r="D3052" s="43">
        <v>3</v>
      </c>
      <c r="E3052" s="57" t="s">
        <v>1707</v>
      </c>
      <c r="F3052" s="111">
        <f>'update Rate'!F5</f>
        <v>525</v>
      </c>
      <c r="G3052" s="111">
        <f>FLOOR(D3052*F3052,0.01)</f>
        <v>1575</v>
      </c>
      <c r="H3052" s="112"/>
    </row>
    <row r="3053" spans="1:8" ht="17.25">
      <c r="B3053" s="1070"/>
      <c r="C3053" s="80" t="s">
        <v>1647</v>
      </c>
      <c r="D3053" s="45">
        <v>2.7</v>
      </c>
      <c r="E3053" s="58" t="s">
        <v>1707</v>
      </c>
      <c r="F3053" s="65">
        <f>'update Rate'!F4</f>
        <v>375</v>
      </c>
      <c r="G3053" s="65">
        <f>FLOOR(D3053*F3053,0.01)</f>
        <v>1012.5</v>
      </c>
      <c r="H3053" s="127">
        <f>SUM(G3052+G3053)</f>
        <v>2587.5</v>
      </c>
    </row>
    <row r="3054" spans="1:8" ht="20.100000000000001" customHeight="1">
      <c r="B3054" s="1069" t="s">
        <v>2330</v>
      </c>
      <c r="C3054" s="57" t="s">
        <v>1235</v>
      </c>
      <c r="D3054" s="43">
        <v>32</v>
      </c>
      <c r="E3054" s="57" t="s">
        <v>3096</v>
      </c>
      <c r="F3054" s="113">
        <f>'update Rate'!$F$140</f>
        <v>30</v>
      </c>
      <c r="G3054" s="114">
        <f>FLOOR(D3054*F3054,0.01)</f>
        <v>960</v>
      </c>
      <c r="H3054" s="112"/>
    </row>
    <row r="3055" spans="1:8" ht="15.75" customHeight="1">
      <c r="B3055" s="1070"/>
      <c r="C3055" s="58" t="s">
        <v>2277</v>
      </c>
      <c r="D3055" s="45">
        <v>1.28</v>
      </c>
      <c r="E3055" s="58" t="s">
        <v>3096</v>
      </c>
      <c r="F3055" s="65">
        <f>'update Rate'!F146</f>
        <v>220</v>
      </c>
      <c r="G3055" s="65">
        <f>FLOOR(D3055*F3055,0.01)</f>
        <v>281.60000000000002</v>
      </c>
      <c r="H3055" s="127">
        <f>SUM(G3054:G3055)</f>
        <v>1241.5999999999999</v>
      </c>
    </row>
    <row r="3056" spans="1:8" ht="20.100000000000001" customHeight="1">
      <c r="F3056" s="42" t="s">
        <v>1708</v>
      </c>
      <c r="G3056" s="138"/>
      <c r="H3056" s="65">
        <f>SUM(H3055,H3053)</f>
        <v>3829.1</v>
      </c>
    </row>
    <row r="3057" spans="1:8" ht="19.5" customHeight="1">
      <c r="B3057" s="1" t="s">
        <v>1710</v>
      </c>
      <c r="F3057" s="42" t="s">
        <v>1689</v>
      </c>
      <c r="G3057" s="138"/>
      <c r="H3057" s="103">
        <f>FLOOR(H3056*0.15,0.01)</f>
        <v>574.36</v>
      </c>
    </row>
    <row r="3058" spans="1:8" ht="16.5">
      <c r="A3058"/>
      <c r="B3058" s="147">
        <f>+H3058</f>
        <v>4403.46</v>
      </c>
      <c r="C3058" s="28" t="s">
        <v>3384</v>
      </c>
      <c r="D3058" s="103">
        <f>INT(B3058/B3059*100)/100</f>
        <v>44.03</v>
      </c>
      <c r="E3058" s="1" t="s">
        <v>3385</v>
      </c>
      <c r="F3058" s="42" t="s">
        <v>1711</v>
      </c>
      <c r="G3058" s="138"/>
      <c r="H3058" s="103">
        <f>SUM(H3056:H3057)</f>
        <v>4403.46</v>
      </c>
    </row>
    <row r="3059" spans="1:8" ht="20.25" customHeight="1">
      <c r="A3059" s="33"/>
      <c r="B3059" s="121">
        <v>100</v>
      </c>
    </row>
    <row r="3060" spans="1:8" ht="20.100000000000001" customHeight="1">
      <c r="A3060" s="33"/>
      <c r="B3060" s="121"/>
    </row>
    <row r="3061" spans="1:8" ht="20.100000000000001" customHeight="1">
      <c r="A3061" s="282">
        <f>+A3049+1</f>
        <v>186</v>
      </c>
      <c r="B3061" s="1076" t="s">
        <v>1631</v>
      </c>
      <c r="C3061" s="1077"/>
      <c r="D3061" s="1077"/>
      <c r="E3061" s="1077"/>
      <c r="F3061" s="1077"/>
      <c r="G3061" s="1077"/>
      <c r="H3061" s="1077"/>
    </row>
    <row r="3062" spans="1:8">
      <c r="A3062" s="1019" t="s">
        <v>4440</v>
      </c>
      <c r="B3062" s="1074" t="s">
        <v>1592</v>
      </c>
      <c r="C3062" s="1075"/>
      <c r="D3062" s="1075"/>
      <c r="E3062" s="1075"/>
      <c r="F3062" s="1075"/>
      <c r="G3062" s="1075"/>
      <c r="H3062" s="1075"/>
    </row>
    <row r="3063" spans="1:8" ht="31.5">
      <c r="B3063" s="70" t="s">
        <v>3340</v>
      </c>
      <c r="C3063" s="70" t="s">
        <v>3341</v>
      </c>
      <c r="D3063" s="70" t="s">
        <v>3342</v>
      </c>
      <c r="E3063" s="70" t="s">
        <v>3343</v>
      </c>
      <c r="F3063" s="70" t="s">
        <v>3344</v>
      </c>
      <c r="G3063" s="70" t="s">
        <v>3345</v>
      </c>
      <c r="H3063" s="70" t="s">
        <v>1704</v>
      </c>
    </row>
    <row r="3064" spans="1:8" ht="17.25" customHeight="1">
      <c r="B3064" s="1067" t="s">
        <v>1705</v>
      </c>
      <c r="C3064" s="60" t="s">
        <v>610</v>
      </c>
      <c r="D3064" s="43">
        <v>0.8</v>
      </c>
      <c r="E3064" s="57" t="s">
        <v>1707</v>
      </c>
      <c r="F3064" s="111">
        <f>'update Rate'!F5</f>
        <v>525</v>
      </c>
      <c r="G3064" s="111">
        <f>FLOOR(D3064*F3064,0.01)</f>
        <v>420</v>
      </c>
      <c r="H3064" s="112"/>
    </row>
    <row r="3065" spans="1:8" ht="17.25">
      <c r="B3065" s="1070"/>
      <c r="C3065" s="80" t="s">
        <v>1647</v>
      </c>
      <c r="D3065" s="45">
        <v>0.7</v>
      </c>
      <c r="E3065" s="58" t="s">
        <v>1707</v>
      </c>
      <c r="F3065" s="65">
        <f>'update Rate'!F4</f>
        <v>375</v>
      </c>
      <c r="G3065" s="65">
        <f>FLOOR(D3065*F3065,0.01)</f>
        <v>262.5</v>
      </c>
      <c r="H3065" s="127">
        <f>SUM(G3064+G3065)</f>
        <v>682.5</v>
      </c>
    </row>
    <row r="3066" spans="1:8" ht="20.100000000000001" customHeight="1">
      <c r="B3066" s="1069" t="s">
        <v>2330</v>
      </c>
      <c r="C3066" s="57" t="s">
        <v>1235</v>
      </c>
      <c r="D3066" s="43">
        <v>10</v>
      </c>
      <c r="E3066" s="57" t="s">
        <v>3096</v>
      </c>
      <c r="F3066" s="113">
        <f>'update Rate'!$F$140</f>
        <v>30</v>
      </c>
      <c r="G3066" s="114">
        <f>FLOOR(D3066*F3066,0.01)</f>
        <v>300</v>
      </c>
      <c r="H3066" s="112"/>
    </row>
    <row r="3067" spans="1:8" ht="20.100000000000001" customHeight="1">
      <c r="B3067" s="1070"/>
      <c r="C3067" s="58" t="s">
        <v>2277</v>
      </c>
      <c r="D3067" s="45">
        <v>0.4</v>
      </c>
      <c r="E3067" s="58" t="s">
        <v>3096</v>
      </c>
      <c r="F3067" s="65">
        <f>'update Rate'!F146</f>
        <v>220</v>
      </c>
      <c r="G3067" s="65">
        <f>FLOOR(D3067*F3067,0.01)</f>
        <v>88</v>
      </c>
      <c r="H3067" s="127">
        <f>SUM(G3066:G3067)</f>
        <v>388</v>
      </c>
    </row>
    <row r="3068" spans="1:8" ht="16.5">
      <c r="F3068" s="42" t="s">
        <v>1708</v>
      </c>
      <c r="G3068" s="138"/>
      <c r="H3068" s="65">
        <f>SUM(H3067,H3065)</f>
        <v>1070.5</v>
      </c>
    </row>
    <row r="3069" spans="1:8" ht="16.5">
      <c r="B3069" s="1" t="s">
        <v>1710</v>
      </c>
      <c r="F3069" s="42" t="s">
        <v>1689</v>
      </c>
      <c r="G3069" s="138"/>
      <c r="H3069" s="103">
        <f>FLOOR(H3068*0.15,0.01)</f>
        <v>160.57</v>
      </c>
    </row>
    <row r="3070" spans="1:8" ht="18" customHeight="1">
      <c r="A3070"/>
      <c r="B3070" s="147">
        <f>+H3070</f>
        <v>1231.07</v>
      </c>
      <c r="C3070" s="28" t="s">
        <v>3384</v>
      </c>
      <c r="D3070" s="103">
        <f>INT(B3070/B3071*100)/100</f>
        <v>12.31</v>
      </c>
      <c r="E3070" s="1" t="s">
        <v>3385</v>
      </c>
      <c r="F3070" s="42" t="s">
        <v>1711</v>
      </c>
      <c r="G3070" s="138"/>
      <c r="H3070" s="103">
        <f>SUM(H3068:H3069)</f>
        <v>1231.07</v>
      </c>
    </row>
    <row r="3071" spans="1:8" ht="18" customHeight="1">
      <c r="B3071" s="121">
        <v>100</v>
      </c>
    </row>
    <row r="3072" spans="1:8" ht="18" customHeight="1">
      <c r="B3072" s="121"/>
    </row>
    <row r="3073" spans="1:8" ht="18" customHeight="1">
      <c r="B3073" s="121"/>
    </row>
    <row r="3074" spans="1:8">
      <c r="A3074" s="32"/>
    </row>
    <row r="3075" spans="1:8" ht="19.5">
      <c r="A3075" s="145">
        <f>+A3061+1</f>
        <v>187</v>
      </c>
      <c r="B3075" s="1076" t="s">
        <v>1632</v>
      </c>
      <c r="C3075" s="1077"/>
      <c r="D3075" s="1077"/>
      <c r="E3075" s="1077"/>
      <c r="F3075" s="1077"/>
      <c r="G3075" s="1077"/>
      <c r="H3075" s="1077"/>
    </row>
    <row r="3076" spans="1:8">
      <c r="A3076" s="1019" t="s">
        <v>4441</v>
      </c>
      <c r="B3076" s="1100" t="s">
        <v>1592</v>
      </c>
      <c r="C3076" s="1083"/>
      <c r="D3076" s="1083"/>
      <c r="E3076" s="1083"/>
      <c r="F3076" s="1083"/>
      <c r="G3076" s="1083"/>
      <c r="H3076" s="1083"/>
    </row>
    <row r="3077" spans="1:8" ht="31.5">
      <c r="B3077" s="70" t="s">
        <v>3340</v>
      </c>
      <c r="C3077" s="70" t="s">
        <v>3341</v>
      </c>
      <c r="D3077" s="70" t="s">
        <v>3342</v>
      </c>
      <c r="E3077" s="70" t="s">
        <v>3343</v>
      </c>
      <c r="F3077" s="70" t="s">
        <v>3344</v>
      </c>
      <c r="G3077" s="70" t="s">
        <v>3345</v>
      </c>
      <c r="H3077" s="70" t="s">
        <v>1704</v>
      </c>
    </row>
    <row r="3078" spans="1:8" ht="20.100000000000001" customHeight="1">
      <c r="B3078" s="1067" t="s">
        <v>1705</v>
      </c>
      <c r="C3078" s="60" t="s">
        <v>610</v>
      </c>
      <c r="D3078" s="43">
        <v>4</v>
      </c>
      <c r="E3078" s="57" t="s">
        <v>1707</v>
      </c>
      <c r="F3078" s="111">
        <f>'update Rate'!F5</f>
        <v>525</v>
      </c>
      <c r="G3078" s="111">
        <f>FLOOR(D3078*F3078,0.01)</f>
        <v>2100</v>
      </c>
      <c r="H3078" s="112"/>
    </row>
    <row r="3079" spans="1:8" ht="20.100000000000001" customHeight="1">
      <c r="B3079" s="1070"/>
      <c r="C3079" s="80" t="s">
        <v>1647</v>
      </c>
      <c r="D3079" s="45">
        <v>4</v>
      </c>
      <c r="E3079" s="58" t="s">
        <v>1707</v>
      </c>
      <c r="F3079" s="65">
        <f>'update Rate'!F4</f>
        <v>375</v>
      </c>
      <c r="G3079" s="65">
        <f>FLOOR(D3079*F3079,0.01)</f>
        <v>1500</v>
      </c>
      <c r="H3079" s="127">
        <f>SUM(G3078+G3079)</f>
        <v>3600</v>
      </c>
    </row>
    <row r="3080" spans="1:8" ht="17.25">
      <c r="B3080" s="1069" t="s">
        <v>2330</v>
      </c>
      <c r="C3080" s="57" t="s">
        <v>1633</v>
      </c>
      <c r="D3080" s="43">
        <v>8</v>
      </c>
      <c r="E3080" s="57" t="s">
        <v>2844</v>
      </c>
      <c r="F3080" s="113">
        <f>'update Rate'!F147</f>
        <v>225</v>
      </c>
      <c r="G3080" s="114">
        <f>FLOOR(D3080*F3080,0.01)</f>
        <v>1800</v>
      </c>
      <c r="H3080" s="112"/>
    </row>
    <row r="3081" spans="1:8" ht="17.25">
      <c r="B3081" s="1070"/>
      <c r="C3081" s="58" t="s">
        <v>1634</v>
      </c>
      <c r="D3081" s="45">
        <v>6.5</v>
      </c>
      <c r="E3081" s="58" t="s">
        <v>3096</v>
      </c>
      <c r="F3081" s="65">
        <f>'update Rate'!$F$148</f>
        <v>134.5</v>
      </c>
      <c r="G3081" s="65">
        <f>FLOOR(D3081*F3081,0.01)</f>
        <v>874.25</v>
      </c>
      <c r="H3081" s="127">
        <f>SUM(G3080:G3081)</f>
        <v>2674.25</v>
      </c>
    </row>
    <row r="3082" spans="1:8" ht="20.100000000000001" customHeight="1">
      <c r="F3082" s="42" t="s">
        <v>1708</v>
      </c>
      <c r="G3082" s="138"/>
      <c r="H3082" s="65">
        <f>SUM(H3079:H3081)</f>
        <v>6274.25</v>
      </c>
    </row>
    <row r="3083" spans="1:8" ht="16.5">
      <c r="B3083" s="1" t="s">
        <v>1710</v>
      </c>
      <c r="F3083" s="42" t="s">
        <v>1689</v>
      </c>
      <c r="G3083" s="138"/>
      <c r="H3083" s="103">
        <f>FLOOR(H3082*0.15,0.01)</f>
        <v>941.13</v>
      </c>
    </row>
    <row r="3084" spans="1:8" ht="18" customHeight="1">
      <c r="A3084"/>
      <c r="B3084" s="147">
        <f>+H3084</f>
        <v>7215.38</v>
      </c>
      <c r="C3084" s="28" t="s">
        <v>3384</v>
      </c>
      <c r="D3084" s="103">
        <f>INT(B3084/B3085*100)/100</f>
        <v>72.150000000000006</v>
      </c>
      <c r="E3084" s="1" t="s">
        <v>3385</v>
      </c>
      <c r="F3084" s="42" t="s">
        <v>1711</v>
      </c>
      <c r="G3084" s="138"/>
      <c r="H3084" s="103">
        <f>SUM(H3082:H3083)</f>
        <v>7215.38</v>
      </c>
    </row>
    <row r="3085" spans="1:8" ht="18" customHeight="1">
      <c r="B3085" s="121">
        <v>100</v>
      </c>
    </row>
    <row r="3086" spans="1:8" ht="18" customHeight="1">
      <c r="B3086" s="121"/>
    </row>
    <row r="3087" spans="1:8" ht="18" customHeight="1">
      <c r="B3087" s="121"/>
    </row>
    <row r="3088" spans="1:8" ht="18" customHeight="1">
      <c r="B3088" s="121"/>
    </row>
    <row r="3089" spans="1:8">
      <c r="A3089" s="33"/>
    </row>
    <row r="3090" spans="1:8" ht="18" customHeight="1">
      <c r="A3090" s="282">
        <f>+A3075+1</f>
        <v>188</v>
      </c>
      <c r="B3090" s="1076" t="s">
        <v>1635</v>
      </c>
      <c r="C3090" s="1077"/>
      <c r="D3090" s="1077"/>
      <c r="E3090" s="1077"/>
      <c r="F3090" s="1077"/>
      <c r="G3090" s="1077"/>
      <c r="H3090" s="1077"/>
    </row>
    <row r="3091" spans="1:8" ht="18" customHeight="1">
      <c r="A3091" s="1019" t="s">
        <v>4441</v>
      </c>
      <c r="B3091" s="1074" t="s">
        <v>1592</v>
      </c>
      <c r="C3091" s="1075"/>
      <c r="D3091" s="1075"/>
      <c r="E3091" s="1075"/>
      <c r="F3091" s="1075"/>
      <c r="G3091" s="1075"/>
      <c r="H3091" s="1075"/>
    </row>
    <row r="3092" spans="1:8">
      <c r="B3092" s="3"/>
      <c r="F3092" s="3"/>
      <c r="G3092" s="3"/>
      <c r="H3092" s="3"/>
    </row>
    <row r="3093" spans="1:8" ht="31.5">
      <c r="B3093" s="70" t="s">
        <v>3340</v>
      </c>
      <c r="C3093" s="70" t="s">
        <v>3341</v>
      </c>
      <c r="D3093" s="70" t="s">
        <v>3342</v>
      </c>
      <c r="E3093" s="70" t="s">
        <v>3343</v>
      </c>
      <c r="F3093" s="70" t="s">
        <v>3344</v>
      </c>
      <c r="G3093" s="70" t="s">
        <v>3345</v>
      </c>
      <c r="H3093" s="70" t="s">
        <v>1704</v>
      </c>
    </row>
    <row r="3094" spans="1:8" ht="17.25">
      <c r="B3094" s="1067" t="s">
        <v>1705</v>
      </c>
      <c r="C3094" s="60" t="s">
        <v>610</v>
      </c>
      <c r="D3094" s="43">
        <v>5.8</v>
      </c>
      <c r="E3094" s="57" t="s">
        <v>1707</v>
      </c>
      <c r="F3094" s="111">
        <f>'update Rate'!F5</f>
        <v>525</v>
      </c>
      <c r="G3094" s="111">
        <f>FLOOR(D3094*F3094,0.01)</f>
        <v>3045</v>
      </c>
      <c r="H3094" s="112"/>
    </row>
    <row r="3095" spans="1:8" ht="20.100000000000001" customHeight="1">
      <c r="B3095" s="1070"/>
      <c r="C3095" s="80" t="s">
        <v>1647</v>
      </c>
      <c r="D3095" s="45">
        <v>5.8</v>
      </c>
      <c r="E3095" s="58" t="s">
        <v>1707</v>
      </c>
      <c r="F3095" s="65">
        <f>'update Rate'!F4</f>
        <v>375</v>
      </c>
      <c r="G3095" s="65">
        <f>FLOOR(D3095*F3095,0.01)</f>
        <v>2175</v>
      </c>
      <c r="H3095" s="127">
        <f>SUM(G3094+G3095)</f>
        <v>5220</v>
      </c>
    </row>
    <row r="3096" spans="1:8" ht="20.100000000000001" customHeight="1">
      <c r="B3096" s="1069" t="s">
        <v>2330</v>
      </c>
      <c r="C3096" s="57" t="s">
        <v>1633</v>
      </c>
      <c r="D3096" s="50">
        <v>8</v>
      </c>
      <c r="E3096" s="57" t="s">
        <v>2844</v>
      </c>
      <c r="F3096" s="113">
        <f>'update Rate'!F147</f>
        <v>225</v>
      </c>
      <c r="G3096" s="114">
        <f>FLOOR(D3096*F3096,0.01)</f>
        <v>1800</v>
      </c>
      <c r="H3096" s="112"/>
    </row>
    <row r="3097" spans="1:8" ht="20.100000000000001" customHeight="1">
      <c r="B3097" s="1070"/>
      <c r="C3097" s="58" t="s">
        <v>1634</v>
      </c>
      <c r="D3097" s="45">
        <v>11.5</v>
      </c>
      <c r="E3097" s="58" t="s">
        <v>3096</v>
      </c>
      <c r="F3097" s="65">
        <f>'update Rate'!$F$148</f>
        <v>134.5</v>
      </c>
      <c r="G3097" s="65">
        <f>FLOOR(D3097*F3097,0.01)</f>
        <v>1546.75</v>
      </c>
      <c r="H3097" s="127">
        <f>SUM(G3096:G3097)</f>
        <v>3346.75</v>
      </c>
    </row>
    <row r="3098" spans="1:8" ht="20.100000000000001" customHeight="1">
      <c r="F3098" s="42" t="s">
        <v>1708</v>
      </c>
      <c r="G3098" s="138"/>
      <c r="H3098" s="65">
        <f>SUM(H3097,H3095)</f>
        <v>8566.75</v>
      </c>
    </row>
    <row r="3099" spans="1:8" ht="16.5">
      <c r="B3099" s="1" t="s">
        <v>1710</v>
      </c>
      <c r="F3099" s="42" t="s">
        <v>1689</v>
      </c>
      <c r="G3099" s="138"/>
      <c r="H3099" s="103">
        <f>FLOOR(H3098*0.15,0.01)</f>
        <v>1285.01</v>
      </c>
    </row>
    <row r="3100" spans="1:8" ht="16.5">
      <c r="A3100"/>
      <c r="B3100" s="147">
        <f>+H3100</f>
        <v>9851.76</v>
      </c>
      <c r="C3100" s="28" t="s">
        <v>3384</v>
      </c>
      <c r="D3100" s="103">
        <f>INT(B3100/B3101*100)/100</f>
        <v>98.51</v>
      </c>
      <c r="E3100" s="1" t="s">
        <v>3385</v>
      </c>
      <c r="F3100" s="42" t="s">
        <v>1711</v>
      </c>
      <c r="G3100" s="138"/>
      <c r="H3100" s="103">
        <f>SUM(H3098:H3099)</f>
        <v>9851.76</v>
      </c>
    </row>
    <row r="3101" spans="1:8" ht="18" customHeight="1">
      <c r="B3101" s="121">
        <v>100</v>
      </c>
    </row>
    <row r="3102" spans="1:8" ht="18" customHeight="1">
      <c r="B3102" s="121"/>
    </row>
    <row r="3103" spans="1:8" ht="18" customHeight="1">
      <c r="A3103" s="282">
        <f>+A3090+1</f>
        <v>189</v>
      </c>
      <c r="B3103" s="1076" t="s">
        <v>1636</v>
      </c>
      <c r="C3103" s="1077"/>
      <c r="D3103" s="1077"/>
      <c r="E3103" s="1077"/>
      <c r="F3103" s="1077"/>
      <c r="G3103" s="1077"/>
      <c r="H3103" s="1077"/>
    </row>
    <row r="3104" spans="1:8">
      <c r="A3104" s="1019" t="s">
        <v>4442</v>
      </c>
      <c r="B3104" s="1074" t="s">
        <v>1592</v>
      </c>
      <c r="C3104" s="1075"/>
      <c r="D3104" s="1075"/>
      <c r="E3104" s="1075"/>
      <c r="F3104" s="1075"/>
      <c r="G3104" s="1075"/>
      <c r="H3104" s="1075"/>
    </row>
    <row r="3105" spans="1:8" ht="31.5">
      <c r="B3105" s="70" t="s">
        <v>3340</v>
      </c>
      <c r="C3105" s="70" t="s">
        <v>3341</v>
      </c>
      <c r="D3105" s="70" t="s">
        <v>3342</v>
      </c>
      <c r="E3105" s="70" t="s">
        <v>3343</v>
      </c>
      <c r="F3105" s="70" t="s">
        <v>3344</v>
      </c>
      <c r="G3105" s="70" t="s">
        <v>3345</v>
      </c>
      <c r="H3105" s="70" t="s">
        <v>1704</v>
      </c>
    </row>
    <row r="3106" spans="1:8" ht="17.25">
      <c r="B3106" s="1067" t="s">
        <v>1705</v>
      </c>
      <c r="C3106" s="60" t="s">
        <v>610</v>
      </c>
      <c r="D3106" s="43">
        <v>1.7</v>
      </c>
      <c r="E3106" s="57" t="s">
        <v>1707</v>
      </c>
      <c r="F3106" s="111">
        <f>'update Rate'!F5</f>
        <v>525</v>
      </c>
      <c r="G3106" s="111">
        <f>FLOOR(D3106*F3106,0.01)</f>
        <v>892.5</v>
      </c>
      <c r="H3106" s="112"/>
    </row>
    <row r="3107" spans="1:8" ht="20.100000000000001" customHeight="1">
      <c r="B3107" s="1099"/>
      <c r="C3107" s="80" t="s">
        <v>1647</v>
      </c>
      <c r="D3107" s="45">
        <v>1.7</v>
      </c>
      <c r="E3107" s="58" t="s">
        <v>1707</v>
      </c>
      <c r="F3107" s="65">
        <f>'update Rate'!F4</f>
        <v>375</v>
      </c>
      <c r="G3107" s="65">
        <f>FLOOR(D3107*F3107,0.01)</f>
        <v>637.5</v>
      </c>
      <c r="H3107" s="127">
        <f>SUM(G3106+G3107)</f>
        <v>1530</v>
      </c>
    </row>
    <row r="3108" spans="1:8">
      <c r="B3108" s="1069" t="s">
        <v>2330</v>
      </c>
      <c r="C3108" s="1069" t="s">
        <v>1637</v>
      </c>
      <c r="D3108" s="1122">
        <v>30</v>
      </c>
      <c r="E3108" s="1069" t="s">
        <v>3096</v>
      </c>
      <c r="F3108" s="1122">
        <f>'update Rate'!$F$150</f>
        <v>50</v>
      </c>
      <c r="G3108" s="1120">
        <f>FLOOR(D3108*F3108,0.01)</f>
        <v>1500</v>
      </c>
      <c r="H3108" s="1120">
        <f>SUM(G3108:G3108)</f>
        <v>1500</v>
      </c>
    </row>
    <row r="3109" spans="1:8">
      <c r="B3109" s="1073"/>
      <c r="C3109" s="1073"/>
      <c r="D3109" s="1123"/>
      <c r="E3109" s="1073"/>
      <c r="F3109" s="1123"/>
      <c r="G3109" s="1121">
        <f>FLOOR(D3109*F3109,0.01)</f>
        <v>0</v>
      </c>
      <c r="H3109" s="1121"/>
    </row>
    <row r="3110" spans="1:8" ht="16.5">
      <c r="F3110" s="42" t="s">
        <v>1708</v>
      </c>
      <c r="G3110" s="138"/>
      <c r="H3110" s="65">
        <f>SUM(H3108,H3107)</f>
        <v>3030</v>
      </c>
    </row>
    <row r="3111" spans="1:8" ht="20.100000000000001" customHeight="1">
      <c r="B3111" s="1" t="s">
        <v>1710</v>
      </c>
      <c r="F3111" s="42" t="s">
        <v>1689</v>
      </c>
      <c r="G3111" s="138"/>
      <c r="H3111" s="103">
        <f>FLOOR(H3110*0.15,0.01)</f>
        <v>454.5</v>
      </c>
    </row>
    <row r="3112" spans="1:8" ht="20.100000000000001" customHeight="1">
      <c r="A3112"/>
      <c r="B3112" s="147">
        <f>+H3112</f>
        <v>3484.5</v>
      </c>
      <c r="C3112" s="28" t="s">
        <v>3384</v>
      </c>
      <c r="D3112" s="103">
        <f>INT(B3112/B3113*100)/100</f>
        <v>34.840000000000003</v>
      </c>
      <c r="E3112" s="1" t="s">
        <v>3385</v>
      </c>
      <c r="F3112" s="42" t="s">
        <v>1711</v>
      </c>
      <c r="G3112" s="138"/>
      <c r="H3112" s="103">
        <f>SUM(H3110:H3111)</f>
        <v>3484.5</v>
      </c>
    </row>
    <row r="3113" spans="1:8" ht="20.100000000000001" customHeight="1">
      <c r="B3113" s="121">
        <v>100</v>
      </c>
    </row>
    <row r="3114" spans="1:8" ht="20.100000000000001" customHeight="1">
      <c r="B3114" s="121"/>
    </row>
    <row r="3115" spans="1:8" ht="20.100000000000001" customHeight="1">
      <c r="B3115" s="121"/>
    </row>
    <row r="3116" spans="1:8">
      <c r="A3116" s="32"/>
    </row>
    <row r="3117" spans="1:8" ht="20.100000000000001" customHeight="1">
      <c r="A3117" s="282">
        <f>+A3103+1</f>
        <v>190</v>
      </c>
      <c r="B3117" s="1076" t="s">
        <v>1638</v>
      </c>
      <c r="C3117" s="1077"/>
      <c r="D3117" s="1077"/>
      <c r="E3117" s="1077"/>
      <c r="F3117" s="1077"/>
      <c r="G3117" s="1077"/>
      <c r="H3117" s="1077"/>
    </row>
    <row r="3118" spans="1:8" ht="20.100000000000001" customHeight="1">
      <c r="A3118" s="1019" t="s">
        <v>4442</v>
      </c>
      <c r="B3118" s="1074" t="s">
        <v>1592</v>
      </c>
      <c r="C3118" s="1075"/>
      <c r="D3118" s="1075"/>
      <c r="E3118" s="1075"/>
      <c r="F3118" s="1075"/>
      <c r="G3118" s="1075"/>
      <c r="H3118" s="1075"/>
    </row>
    <row r="3119" spans="1:8" ht="31.5">
      <c r="B3119" s="70" t="s">
        <v>3340</v>
      </c>
      <c r="C3119" s="70" t="s">
        <v>3341</v>
      </c>
      <c r="D3119" s="70" t="s">
        <v>3342</v>
      </c>
      <c r="E3119" s="70" t="s">
        <v>3343</v>
      </c>
      <c r="F3119" s="70" t="s">
        <v>3344</v>
      </c>
      <c r="G3119" s="70" t="s">
        <v>3345</v>
      </c>
      <c r="H3119" s="70" t="s">
        <v>1704</v>
      </c>
    </row>
    <row r="3120" spans="1:8" ht="20.100000000000001" customHeight="1">
      <c r="B3120" s="1069" t="s">
        <v>1705</v>
      </c>
      <c r="C3120" s="60" t="s">
        <v>610</v>
      </c>
      <c r="D3120" s="43">
        <v>5</v>
      </c>
      <c r="E3120" s="57" t="s">
        <v>1707</v>
      </c>
      <c r="F3120" s="111">
        <f>'update Rate'!F5</f>
        <v>525</v>
      </c>
      <c r="G3120" s="111">
        <f>FLOOR(D3120*F3120,0.01)</f>
        <v>2625</v>
      </c>
      <c r="H3120" s="112"/>
    </row>
    <row r="3121" spans="1:8" ht="17.25">
      <c r="B3121" s="1073"/>
      <c r="C3121" s="80" t="s">
        <v>1647</v>
      </c>
      <c r="D3121" s="45">
        <v>5</v>
      </c>
      <c r="E3121" s="58" t="s">
        <v>1707</v>
      </c>
      <c r="F3121" s="65">
        <f>'update Rate'!F4</f>
        <v>375</v>
      </c>
      <c r="G3121" s="65">
        <f>FLOOR(D3121*F3121,0.01)</f>
        <v>1875</v>
      </c>
      <c r="H3121" s="127">
        <f>SUM(G3120+G3121)</f>
        <v>4500</v>
      </c>
    </row>
    <row r="3122" spans="1:8" ht="20.100000000000001" customHeight="1">
      <c r="B3122" s="1069" t="s">
        <v>2330</v>
      </c>
      <c r="C3122" s="1069" t="s">
        <v>1637</v>
      </c>
      <c r="D3122" s="1122">
        <v>48.5</v>
      </c>
      <c r="E3122" s="1069" t="s">
        <v>3096</v>
      </c>
      <c r="F3122" s="1122">
        <f>'update Rate'!$F$150</f>
        <v>50</v>
      </c>
      <c r="G3122" s="1120">
        <f>FLOOR(D3122*F3122,0.01)</f>
        <v>2425</v>
      </c>
      <c r="H3122" s="1120">
        <f>SUM(G3122:G3122)</f>
        <v>2425</v>
      </c>
    </row>
    <row r="3123" spans="1:8" ht="20.100000000000001" customHeight="1">
      <c r="B3123" s="1073"/>
      <c r="C3123" s="1073"/>
      <c r="D3123" s="1123"/>
      <c r="E3123" s="1073"/>
      <c r="F3123" s="1123"/>
      <c r="G3123" s="1121">
        <f>FLOOR(D3123*F3123,0.01)</f>
        <v>0</v>
      </c>
      <c r="H3123" s="1121"/>
    </row>
    <row r="3124" spans="1:8" ht="16.5">
      <c r="F3124" s="42" t="s">
        <v>1708</v>
      </c>
      <c r="G3124" s="138"/>
      <c r="H3124" s="65">
        <f>SUM(H3122,H3121)</f>
        <v>6925</v>
      </c>
    </row>
    <row r="3125" spans="1:8" ht="16.5">
      <c r="B3125" s="1" t="s">
        <v>1710</v>
      </c>
      <c r="F3125" s="42" t="s">
        <v>1689</v>
      </c>
      <c r="G3125" s="138"/>
      <c r="H3125" s="103">
        <f>FLOOR(H3124*0.15,0.01)</f>
        <v>1038.75</v>
      </c>
    </row>
    <row r="3126" spans="1:8" ht="16.5">
      <c r="A3126"/>
      <c r="B3126" s="147">
        <f>+H3126</f>
        <v>7963.75</v>
      </c>
      <c r="C3126" s="28" t="s">
        <v>3384</v>
      </c>
      <c r="D3126" s="103">
        <f>INT(B3126/B3127*100)/100</f>
        <v>79.63</v>
      </c>
      <c r="E3126" s="1" t="s">
        <v>3385</v>
      </c>
      <c r="F3126" s="42" t="s">
        <v>1711</v>
      </c>
      <c r="G3126" s="138"/>
      <c r="H3126" s="103">
        <f>SUM(H3124:H3125)</f>
        <v>7963.75</v>
      </c>
    </row>
    <row r="3127" spans="1:8" ht="20.100000000000001" customHeight="1">
      <c r="B3127" s="121">
        <v>100</v>
      </c>
    </row>
    <row r="3128" spans="1:8" ht="20.100000000000001" customHeight="1">
      <c r="B3128" s="121"/>
    </row>
    <row r="3129" spans="1:8" ht="20.100000000000001" customHeight="1">
      <c r="B3129" s="121"/>
    </row>
    <row r="3130" spans="1:8" ht="20.100000000000001" customHeight="1">
      <c r="B3130" s="121"/>
    </row>
    <row r="3131" spans="1:8">
      <c r="A3131" s="33"/>
    </row>
    <row r="3132" spans="1:8" ht="19.5">
      <c r="B3132" s="1077" t="s">
        <v>1639</v>
      </c>
      <c r="C3132" s="1077"/>
      <c r="D3132" s="1077"/>
      <c r="E3132" s="1077"/>
      <c r="F3132" s="1077"/>
      <c r="G3132" s="1077"/>
      <c r="H3132" s="1077"/>
    </row>
    <row r="3133" spans="1:8" ht="20.100000000000001" customHeight="1">
      <c r="A3133" s="282">
        <f>+A3117+1</f>
        <v>191</v>
      </c>
      <c r="B3133" s="1071" t="s">
        <v>2375</v>
      </c>
      <c r="C3133" s="1072"/>
      <c r="D3133" s="1072"/>
      <c r="E3133" s="1072"/>
      <c r="F3133" s="1072"/>
      <c r="G3133" s="1072"/>
      <c r="H3133" s="1072"/>
    </row>
    <row r="3134" spans="1:8">
      <c r="A3134" s="1019" t="s">
        <v>4443</v>
      </c>
      <c r="B3134" s="1074" t="s">
        <v>1592</v>
      </c>
      <c r="C3134" s="1075"/>
      <c r="D3134" s="1075"/>
      <c r="E3134" s="1075"/>
      <c r="F3134" s="1075"/>
      <c r="G3134" s="1075"/>
      <c r="H3134" s="1075"/>
    </row>
    <row r="3135" spans="1:8" ht="31.5">
      <c r="B3135" s="70" t="s">
        <v>3340</v>
      </c>
      <c r="C3135" s="70" t="s">
        <v>3341</v>
      </c>
      <c r="D3135" s="70" t="s">
        <v>3342</v>
      </c>
      <c r="E3135" s="70" t="s">
        <v>3343</v>
      </c>
      <c r="F3135" s="70" t="s">
        <v>3344</v>
      </c>
      <c r="G3135" s="70" t="s">
        <v>3345</v>
      </c>
      <c r="H3135" s="70" t="s">
        <v>1704</v>
      </c>
    </row>
    <row r="3136" spans="1:8" ht="20.100000000000001" customHeight="1">
      <c r="B3136" s="1067" t="s">
        <v>1705</v>
      </c>
      <c r="C3136" s="60" t="s">
        <v>610</v>
      </c>
      <c r="D3136" s="43">
        <v>8</v>
      </c>
      <c r="E3136" s="57" t="s">
        <v>1707</v>
      </c>
      <c r="F3136" s="111">
        <f>'update Rate'!F5</f>
        <v>525</v>
      </c>
      <c r="G3136" s="111">
        <f>FLOOR(D3136*F3136,0.01)</f>
        <v>4200</v>
      </c>
      <c r="H3136" s="112"/>
    </row>
    <row r="3137" spans="1:8" ht="20.100000000000001" customHeight="1">
      <c r="B3137" s="1070"/>
      <c r="C3137" s="80" t="s">
        <v>1647</v>
      </c>
      <c r="D3137" s="45">
        <v>5</v>
      </c>
      <c r="E3137" s="58" t="s">
        <v>1707</v>
      </c>
      <c r="F3137" s="65">
        <f>'update Rate'!F4</f>
        <v>375</v>
      </c>
      <c r="G3137" s="65">
        <f>FLOOR(D3137*F3137,0.01)</f>
        <v>1875</v>
      </c>
      <c r="H3137" s="127">
        <f>SUM(G3136+G3137)</f>
        <v>6075</v>
      </c>
    </row>
    <row r="3138" spans="1:8" ht="20.100000000000001" customHeight="1">
      <c r="B3138" s="1069" t="s">
        <v>2330</v>
      </c>
      <c r="C3138" s="57" t="s">
        <v>1633</v>
      </c>
      <c r="D3138" s="43">
        <v>8.1</v>
      </c>
      <c r="E3138" s="57" t="s">
        <v>2844</v>
      </c>
      <c r="F3138" s="111">
        <f>'update Rate'!$F$152</f>
        <v>300</v>
      </c>
      <c r="G3138" s="114">
        <f>FLOOR(D3138*F3138,0.01)</f>
        <v>2430</v>
      </c>
      <c r="H3138" s="112"/>
    </row>
    <row r="3139" spans="1:8" ht="20.100000000000001" customHeight="1">
      <c r="B3139" s="1070"/>
      <c r="C3139" s="58" t="s">
        <v>807</v>
      </c>
      <c r="D3139" s="45">
        <v>9</v>
      </c>
      <c r="E3139" s="58" t="s">
        <v>2844</v>
      </c>
      <c r="F3139" s="65">
        <f>'update Rate'!F151</f>
        <v>421</v>
      </c>
      <c r="G3139" s="65">
        <f>FLOOR(D3139*F3139,0.01)</f>
        <v>3789</v>
      </c>
      <c r="H3139" s="127">
        <f>SUM(G3138:G3139)</f>
        <v>6219</v>
      </c>
    </row>
    <row r="3140" spans="1:8" ht="20.100000000000001" customHeight="1">
      <c r="F3140" s="42" t="s">
        <v>1708</v>
      </c>
      <c r="G3140" s="138"/>
      <c r="H3140" s="65">
        <f>SUM(H3139,H3137)</f>
        <v>12294</v>
      </c>
    </row>
    <row r="3141" spans="1:8" ht="16.5">
      <c r="B3141" s="1" t="s">
        <v>1710</v>
      </c>
      <c r="F3141" s="42" t="s">
        <v>1689</v>
      </c>
      <c r="G3141" s="138"/>
      <c r="H3141" s="103">
        <f>FLOOR(H3140*0.15,0.01)</f>
        <v>1844.1000000000001</v>
      </c>
    </row>
    <row r="3142" spans="1:8" ht="16.5">
      <c r="A3142"/>
      <c r="B3142" s="147">
        <f>+H3142</f>
        <v>14138.1</v>
      </c>
      <c r="C3142" s="28" t="s">
        <v>3384</v>
      </c>
      <c r="D3142" s="103">
        <f>INT(B3142/B3143*100)/100</f>
        <v>141.38</v>
      </c>
      <c r="E3142" s="1" t="s">
        <v>3385</v>
      </c>
      <c r="F3142" s="42" t="s">
        <v>1711</v>
      </c>
      <c r="G3142" s="138"/>
      <c r="H3142" s="103">
        <f>SUM(H3140:H3141)</f>
        <v>14138.1</v>
      </c>
    </row>
    <row r="3143" spans="1:8">
      <c r="B3143" s="121">
        <v>100</v>
      </c>
    </row>
    <row r="3144" spans="1:8" ht="20.100000000000001" customHeight="1">
      <c r="B3144" s="121"/>
    </row>
    <row r="3145" spans="1:8" ht="19.5">
      <c r="A3145" s="282">
        <f>+A3133+1</f>
        <v>192</v>
      </c>
      <c r="B3145" s="1076" t="s">
        <v>1831</v>
      </c>
      <c r="C3145" s="1077"/>
      <c r="D3145" s="1077"/>
      <c r="E3145" s="1077"/>
      <c r="F3145" s="1077"/>
      <c r="G3145" s="1077"/>
      <c r="H3145" s="1077"/>
    </row>
    <row r="3146" spans="1:8" ht="20.100000000000001" customHeight="1">
      <c r="A3146" s="1019" t="s">
        <v>4443</v>
      </c>
      <c r="B3146" s="1071" t="s">
        <v>1269</v>
      </c>
      <c r="C3146" s="1072"/>
      <c r="D3146" s="1072"/>
      <c r="E3146" s="1072"/>
      <c r="F3146" s="1072"/>
      <c r="G3146" s="1072"/>
      <c r="H3146" s="1072"/>
    </row>
    <row r="3147" spans="1:8">
      <c r="A3147" s="40"/>
      <c r="B3147" s="1075" t="s">
        <v>1592</v>
      </c>
      <c r="C3147" s="1075"/>
      <c r="D3147" s="1075"/>
      <c r="E3147" s="1075"/>
      <c r="F3147" s="1075"/>
      <c r="G3147" s="1075"/>
      <c r="H3147" s="1075"/>
    </row>
    <row r="3148" spans="1:8" ht="31.5">
      <c r="B3148" s="70" t="s">
        <v>3340</v>
      </c>
      <c r="C3148" s="70" t="s">
        <v>3341</v>
      </c>
      <c r="D3148" s="70" t="s">
        <v>3342</v>
      </c>
      <c r="E3148" s="70" t="s">
        <v>3343</v>
      </c>
      <c r="F3148" s="70" t="s">
        <v>3344</v>
      </c>
      <c r="G3148" s="70" t="s">
        <v>3345</v>
      </c>
      <c r="H3148" s="70" t="s">
        <v>1704</v>
      </c>
    </row>
    <row r="3149" spans="1:8" ht="20.100000000000001" customHeight="1">
      <c r="B3149" s="1067" t="s">
        <v>1705</v>
      </c>
      <c r="C3149" s="60" t="s">
        <v>610</v>
      </c>
      <c r="D3149" s="43">
        <v>12</v>
      </c>
      <c r="E3149" s="57" t="s">
        <v>1707</v>
      </c>
      <c r="F3149" s="111">
        <f>'update Rate'!F5</f>
        <v>525</v>
      </c>
      <c r="G3149" s="111">
        <f>FLOOR(D3149*F3149,0.01)</f>
        <v>6300</v>
      </c>
      <c r="H3149" s="112"/>
    </row>
    <row r="3150" spans="1:8" ht="20.100000000000001" customHeight="1">
      <c r="B3150" s="1070"/>
      <c r="C3150" s="80" t="s">
        <v>1647</v>
      </c>
      <c r="D3150" s="45">
        <v>8</v>
      </c>
      <c r="E3150" s="58" t="s">
        <v>1707</v>
      </c>
      <c r="F3150" s="65">
        <f>'update Rate'!F4</f>
        <v>375</v>
      </c>
      <c r="G3150" s="65">
        <f>FLOOR(D3150*F3150,0.01)</f>
        <v>3000</v>
      </c>
      <c r="H3150" s="127">
        <f>SUM(G3149+G3150)</f>
        <v>9300</v>
      </c>
    </row>
    <row r="3151" spans="1:8" ht="20.100000000000001" customHeight="1">
      <c r="B3151" s="1069" t="s">
        <v>2330</v>
      </c>
      <c r="C3151" s="57" t="s">
        <v>1633</v>
      </c>
      <c r="D3151" s="43">
        <v>8.1</v>
      </c>
      <c r="E3151" s="57" t="s">
        <v>2844</v>
      </c>
      <c r="F3151" s="111">
        <f>'update Rate'!F152</f>
        <v>300</v>
      </c>
      <c r="G3151" s="114">
        <f>FLOOR(D3151*F3151,0.01)</f>
        <v>2430</v>
      </c>
      <c r="H3151" s="112"/>
    </row>
    <row r="3152" spans="1:8" ht="17.25">
      <c r="B3152" s="1070"/>
      <c r="C3152" s="58" t="s">
        <v>807</v>
      </c>
      <c r="D3152" s="45">
        <v>16</v>
      </c>
      <c r="E3152" s="58" t="s">
        <v>2844</v>
      </c>
      <c r="F3152" s="65">
        <f>'update Rate'!F151</f>
        <v>421</v>
      </c>
      <c r="G3152" s="65">
        <f>FLOOR(D3152*F3152,0.01)</f>
        <v>6736</v>
      </c>
      <c r="H3152" s="127">
        <f>SUM(G3151:G3152)</f>
        <v>9166</v>
      </c>
    </row>
    <row r="3153" spans="1:8" ht="20.100000000000001" customHeight="1">
      <c r="F3153" s="42" t="s">
        <v>1708</v>
      </c>
      <c r="G3153" s="138"/>
      <c r="H3153" s="65">
        <f>SUM(H3152,H3150)</f>
        <v>18466</v>
      </c>
    </row>
    <row r="3154" spans="1:8" ht="20.100000000000001" customHeight="1">
      <c r="B3154" s="1" t="s">
        <v>1710</v>
      </c>
      <c r="F3154" s="42" t="s">
        <v>1689</v>
      </c>
      <c r="G3154" s="138"/>
      <c r="H3154" s="103">
        <f>FLOOR(H3153*0.15,0.01)</f>
        <v>2769.9</v>
      </c>
    </row>
    <row r="3155" spans="1:8" ht="20.100000000000001" customHeight="1">
      <c r="A3155"/>
      <c r="B3155" s="147">
        <f>+H3155</f>
        <v>21235.9</v>
      </c>
      <c r="C3155" s="28" t="s">
        <v>3384</v>
      </c>
      <c r="D3155" s="103">
        <f>INT(B3155/B3156*100)/100</f>
        <v>212.35</v>
      </c>
      <c r="E3155" s="1" t="s">
        <v>3385</v>
      </c>
      <c r="F3155" s="42" t="s">
        <v>1711</v>
      </c>
      <c r="G3155" s="138"/>
      <c r="H3155" s="103">
        <f>SUM(H3153:H3154)</f>
        <v>21235.9</v>
      </c>
    </row>
    <row r="3156" spans="1:8" ht="20.100000000000001" customHeight="1">
      <c r="B3156" s="121">
        <v>100</v>
      </c>
    </row>
    <row r="3157" spans="1:8" ht="20.100000000000001" customHeight="1">
      <c r="B3157" s="121"/>
    </row>
    <row r="3158" spans="1:8">
      <c r="B3158" s="121"/>
    </row>
    <row r="3159" spans="1:8" ht="19.5">
      <c r="A3159" s="282">
        <f>+A3145+1</f>
        <v>193</v>
      </c>
      <c r="B3159" s="1076" t="s">
        <v>1832</v>
      </c>
      <c r="C3159" s="1077"/>
      <c r="D3159" s="1077"/>
      <c r="E3159" s="1077"/>
      <c r="F3159" s="1077"/>
      <c r="G3159" s="1077"/>
      <c r="H3159" s="1077"/>
    </row>
    <row r="3160" spans="1:8" ht="20.100000000000001" customHeight="1">
      <c r="A3160" s="1019" t="s">
        <v>4443</v>
      </c>
      <c r="B3160" s="1071" t="s">
        <v>1270</v>
      </c>
      <c r="C3160" s="1072"/>
      <c r="D3160" s="1072"/>
      <c r="E3160" s="1072"/>
      <c r="F3160" s="1072"/>
      <c r="G3160" s="1072"/>
      <c r="H3160" s="1072"/>
    </row>
    <row r="3161" spans="1:8">
      <c r="A3161" s="40"/>
      <c r="B3161" s="1075" t="s">
        <v>1592</v>
      </c>
      <c r="C3161" s="1075"/>
      <c r="D3161" s="1075"/>
      <c r="E3161" s="1075"/>
      <c r="F3161" s="1075"/>
      <c r="G3161" s="1075"/>
      <c r="H3161" s="1075"/>
    </row>
    <row r="3162" spans="1:8" ht="31.5">
      <c r="B3162" s="70" t="s">
        <v>3340</v>
      </c>
      <c r="C3162" s="70" t="s">
        <v>3341</v>
      </c>
      <c r="D3162" s="70" t="s">
        <v>3342</v>
      </c>
      <c r="E3162" s="70" t="s">
        <v>3343</v>
      </c>
      <c r="F3162" s="70" t="s">
        <v>3344</v>
      </c>
      <c r="G3162" s="70" t="s">
        <v>3345</v>
      </c>
      <c r="H3162" s="70" t="s">
        <v>1704</v>
      </c>
    </row>
    <row r="3163" spans="1:8" ht="20.100000000000001" customHeight="1">
      <c r="B3163" s="60" t="s">
        <v>1705</v>
      </c>
      <c r="C3163" s="60" t="s">
        <v>610</v>
      </c>
      <c r="D3163" s="43">
        <v>8</v>
      </c>
      <c r="E3163" s="57" t="s">
        <v>1707</v>
      </c>
      <c r="F3163" s="111">
        <f>'update Rate'!F5</f>
        <v>525</v>
      </c>
      <c r="G3163" s="111">
        <f>FLOOR(D3163*F3163,0.01)</f>
        <v>4200</v>
      </c>
      <c r="H3163" s="112"/>
    </row>
    <row r="3164" spans="1:8" ht="20.100000000000001" customHeight="1">
      <c r="B3164" s="203"/>
      <c r="C3164" s="80" t="s">
        <v>1647</v>
      </c>
      <c r="D3164" s="45">
        <v>5</v>
      </c>
      <c r="E3164" s="58" t="s">
        <v>1707</v>
      </c>
      <c r="F3164" s="65">
        <f>'update Rate'!F4</f>
        <v>375</v>
      </c>
      <c r="G3164" s="65">
        <f>FLOOR(D3164*F3164,0.01)</f>
        <v>1875</v>
      </c>
      <c r="H3164" s="127">
        <f>SUM(G3163+G3164)</f>
        <v>6075</v>
      </c>
    </row>
    <row r="3165" spans="1:8" ht="20.100000000000001" customHeight="1">
      <c r="B3165" s="78" t="s">
        <v>2330</v>
      </c>
      <c r="C3165" s="57" t="s">
        <v>1633</v>
      </c>
      <c r="D3165" s="50">
        <v>8.1</v>
      </c>
      <c r="E3165" s="57" t="s">
        <v>2844</v>
      </c>
      <c r="F3165" s="111">
        <f>'update Rate'!F147</f>
        <v>225</v>
      </c>
      <c r="G3165" s="114">
        <f>FLOOR(D3165*F3165,0.01)</f>
        <v>1822.5</v>
      </c>
      <c r="H3165" s="112"/>
    </row>
    <row r="3166" spans="1:8" ht="20.100000000000001" customHeight="1">
      <c r="B3166" s="203"/>
      <c r="C3166" s="58" t="s">
        <v>807</v>
      </c>
      <c r="D3166" s="53">
        <v>9</v>
      </c>
      <c r="E3166" s="58" t="s">
        <v>2844</v>
      </c>
      <c r="F3166" s="65">
        <f>'update Rate'!F154</f>
        <v>422</v>
      </c>
      <c r="G3166" s="65">
        <f>FLOOR(D3166*F3166,0.01)</f>
        <v>3798</v>
      </c>
      <c r="H3166" s="127">
        <f>SUM(G3165:G3166)</f>
        <v>5620.5</v>
      </c>
    </row>
    <row r="3167" spans="1:8" ht="20.100000000000001" customHeight="1">
      <c r="F3167" s="42" t="s">
        <v>1708</v>
      </c>
      <c r="G3167" s="138"/>
      <c r="H3167" s="65">
        <f>SUM(H3166,H3164)</f>
        <v>11695.5</v>
      </c>
    </row>
    <row r="3168" spans="1:8" ht="16.5">
      <c r="B3168" s="1" t="s">
        <v>1710</v>
      </c>
      <c r="F3168" s="42" t="s">
        <v>1689</v>
      </c>
      <c r="G3168" s="138"/>
      <c r="H3168" s="103">
        <f>FLOOR(H3167*0.15,0.01)</f>
        <v>1754.32</v>
      </c>
    </row>
    <row r="3169" spans="1:8" ht="16.5">
      <c r="A3169"/>
      <c r="B3169" s="147">
        <f>+H3169</f>
        <v>13449.82</v>
      </c>
      <c r="C3169" s="28" t="s">
        <v>3384</v>
      </c>
      <c r="D3169" s="103">
        <f>INT(B3169/B3170*100)/100</f>
        <v>134.49</v>
      </c>
      <c r="E3169" s="1" t="s">
        <v>3385</v>
      </c>
      <c r="F3169" s="42" t="s">
        <v>1711</v>
      </c>
      <c r="G3169" s="138"/>
      <c r="H3169" s="103">
        <f>SUM(H3167:H3168)</f>
        <v>13449.82</v>
      </c>
    </row>
    <row r="3170" spans="1:8">
      <c r="B3170" s="121">
        <v>100</v>
      </c>
    </row>
    <row r="3171" spans="1:8">
      <c r="B3171" s="121"/>
    </row>
    <row r="3172" spans="1:8">
      <c r="B3172" s="121"/>
    </row>
    <row r="3173" spans="1:8" ht="20.100000000000001" customHeight="1"/>
    <row r="3174" spans="1:8" ht="20.100000000000001" customHeight="1">
      <c r="B3174" s="1077" t="s">
        <v>2611</v>
      </c>
      <c r="C3174" s="1077"/>
      <c r="D3174" s="1077"/>
      <c r="E3174" s="1077"/>
      <c r="F3174" s="1077"/>
      <c r="G3174" s="1077"/>
      <c r="H3174" s="1077"/>
    </row>
    <row r="3175" spans="1:8" ht="19.5">
      <c r="A3175" s="282">
        <f>+A3159+1</f>
        <v>194</v>
      </c>
      <c r="B3175" s="1071" t="s">
        <v>1270</v>
      </c>
      <c r="C3175" s="1072"/>
      <c r="D3175" s="1072"/>
      <c r="E3175" s="1072"/>
      <c r="F3175" s="1072"/>
      <c r="G3175" s="1072"/>
      <c r="H3175" s="1072"/>
    </row>
    <row r="3176" spans="1:8">
      <c r="A3176" s="1019" t="s">
        <v>4443</v>
      </c>
      <c r="B3176" s="1074" t="s">
        <v>1592</v>
      </c>
      <c r="C3176" s="1075"/>
      <c r="D3176" s="1075"/>
      <c r="E3176" s="1075"/>
      <c r="F3176" s="1075"/>
      <c r="G3176" s="1075"/>
      <c r="H3176" s="1075"/>
    </row>
    <row r="3177" spans="1:8" ht="31.5">
      <c r="B3177" s="70" t="s">
        <v>3340</v>
      </c>
      <c r="C3177" s="70" t="s">
        <v>3341</v>
      </c>
      <c r="D3177" s="70" t="s">
        <v>3342</v>
      </c>
      <c r="E3177" s="70" t="s">
        <v>3343</v>
      </c>
      <c r="F3177" s="70" t="s">
        <v>3344</v>
      </c>
      <c r="G3177" s="70" t="s">
        <v>3345</v>
      </c>
      <c r="H3177" s="70" t="s">
        <v>1704</v>
      </c>
    </row>
    <row r="3178" spans="1:8" ht="20.100000000000001" customHeight="1">
      <c r="B3178" s="1067" t="s">
        <v>1705</v>
      </c>
      <c r="C3178" s="60" t="s">
        <v>610</v>
      </c>
      <c r="D3178" s="43">
        <v>12</v>
      </c>
      <c r="E3178" s="57" t="s">
        <v>1707</v>
      </c>
      <c r="F3178" s="111">
        <f>'update Rate'!F5</f>
        <v>525</v>
      </c>
      <c r="G3178" s="111">
        <f>FLOOR(D3178*F3178,0.01)</f>
        <v>6300</v>
      </c>
      <c r="H3178" s="112"/>
    </row>
    <row r="3179" spans="1:8" ht="20.100000000000001" customHeight="1">
      <c r="B3179" s="1070"/>
      <c r="C3179" s="80" t="s">
        <v>1647</v>
      </c>
      <c r="D3179" s="45">
        <v>8</v>
      </c>
      <c r="E3179" s="58" t="s">
        <v>1707</v>
      </c>
      <c r="F3179" s="65">
        <f>'update Rate'!F4</f>
        <v>375</v>
      </c>
      <c r="G3179" s="65">
        <f>FLOOR(D3179*F3179,0.01)</f>
        <v>3000</v>
      </c>
      <c r="H3179" s="127">
        <f>SUM(G3178+G3179)</f>
        <v>9300</v>
      </c>
    </row>
    <row r="3180" spans="1:8" ht="20.100000000000001" customHeight="1">
      <c r="B3180" s="1069" t="s">
        <v>2330</v>
      </c>
      <c r="C3180" s="57" t="s">
        <v>1633</v>
      </c>
      <c r="D3180" s="43">
        <v>8.1</v>
      </c>
      <c r="E3180" s="57" t="s">
        <v>2844</v>
      </c>
      <c r="F3180" s="111">
        <f>'update Rate'!F147</f>
        <v>225</v>
      </c>
      <c r="G3180" s="114">
        <f>FLOOR(D3180*F3180,0.01)</f>
        <v>1822.5</v>
      </c>
      <c r="H3180" s="112"/>
    </row>
    <row r="3181" spans="1:8" ht="17.25">
      <c r="B3181" s="1070"/>
      <c r="C3181" s="58" t="s">
        <v>807</v>
      </c>
      <c r="D3181" s="45">
        <v>16</v>
      </c>
      <c r="E3181" s="58" t="s">
        <v>2844</v>
      </c>
      <c r="F3181" s="65">
        <f>'update Rate'!F154</f>
        <v>422</v>
      </c>
      <c r="G3181" s="65">
        <f>FLOOR(D3181*F3181,0.01)</f>
        <v>6752</v>
      </c>
      <c r="H3181" s="127">
        <f>SUM(G3180:G3181)</f>
        <v>8574.5</v>
      </c>
    </row>
    <row r="3182" spans="1:8" ht="16.5">
      <c r="F3182" s="42" t="s">
        <v>1708</v>
      </c>
      <c r="G3182" s="138"/>
      <c r="H3182" s="65">
        <f>SUM(H3181,H3179)</f>
        <v>17874.5</v>
      </c>
    </row>
    <row r="3183" spans="1:8" ht="16.5">
      <c r="B3183" s="1" t="s">
        <v>1710</v>
      </c>
      <c r="F3183" s="42" t="s">
        <v>1689</v>
      </c>
      <c r="G3183" s="138"/>
      <c r="H3183" s="103">
        <f>FLOOR(H3182*0.15,0.01)</f>
        <v>2681.17</v>
      </c>
    </row>
    <row r="3184" spans="1:8" ht="16.5">
      <c r="A3184"/>
      <c r="B3184" s="147">
        <f>+H3184</f>
        <v>20555.669999999998</v>
      </c>
      <c r="C3184" s="28" t="s">
        <v>3384</v>
      </c>
      <c r="D3184" s="103">
        <f>INT(B3184/B3185*100)/100</f>
        <v>205.55</v>
      </c>
      <c r="E3184" s="1" t="s">
        <v>3385</v>
      </c>
      <c r="F3184" s="42" t="s">
        <v>1711</v>
      </c>
      <c r="G3184" s="138"/>
      <c r="H3184" s="103">
        <f>SUM(H3182:H3183)</f>
        <v>20555.669999999998</v>
      </c>
    </row>
    <row r="3185" spans="1:8">
      <c r="B3185" s="121">
        <v>100</v>
      </c>
    </row>
    <row r="3186" spans="1:8">
      <c r="A3186" s="32"/>
    </row>
    <row r="3187" spans="1:8" ht="19.5">
      <c r="A3187" s="282">
        <f>+A3175+1</f>
        <v>195</v>
      </c>
      <c r="B3187" s="1076" t="s">
        <v>2689</v>
      </c>
      <c r="C3187" s="1077"/>
      <c r="D3187" s="1077"/>
      <c r="E3187" s="1077"/>
      <c r="F3187" s="1077"/>
      <c r="G3187" s="1077"/>
      <c r="H3187" s="1077"/>
    </row>
    <row r="3188" spans="1:8">
      <c r="A3188" s="1019"/>
      <c r="B3188" s="1100" t="s">
        <v>1590</v>
      </c>
      <c r="C3188" s="1083"/>
      <c r="D3188" s="1083"/>
      <c r="E3188" s="1083"/>
      <c r="F3188" s="1083"/>
      <c r="G3188" s="1083"/>
      <c r="H3188" s="1083"/>
    </row>
    <row r="3189" spans="1:8" ht="31.5">
      <c r="B3189" s="70" t="s">
        <v>3340</v>
      </c>
      <c r="C3189" s="70" t="s">
        <v>3341</v>
      </c>
      <c r="D3189" s="70" t="s">
        <v>3342</v>
      </c>
      <c r="E3189" s="70" t="s">
        <v>3343</v>
      </c>
      <c r="F3189" s="70" t="s">
        <v>3344</v>
      </c>
      <c r="G3189" s="70" t="s">
        <v>3345</v>
      </c>
      <c r="H3189" s="70" t="s">
        <v>1704</v>
      </c>
    </row>
    <row r="3190" spans="1:8" ht="15" customHeight="1">
      <c r="B3190" s="1067" t="s">
        <v>2692</v>
      </c>
      <c r="C3190" s="1067" t="s">
        <v>2691</v>
      </c>
      <c r="D3190" s="189"/>
      <c r="E3190" s="1067" t="s">
        <v>2338</v>
      </c>
      <c r="F3190" s="111"/>
      <c r="G3190" s="204"/>
      <c r="H3190" s="8"/>
    </row>
    <row r="3191" spans="1:8">
      <c r="B3191" s="1099"/>
      <c r="C3191" s="1099"/>
      <c r="D3191" s="271">
        <v>1</v>
      </c>
      <c r="E3191" s="1099"/>
      <c r="F3191" s="127">
        <f>'update Rate'!$F$153</f>
        <v>182.92</v>
      </c>
      <c r="G3191" s="126">
        <f>FLOOR(D3191*F3191,0.01)</f>
        <v>182.92000000000002</v>
      </c>
      <c r="H3191" s="127">
        <f>SUM(G3191+G3192+G3193)</f>
        <v>182.92000000000002</v>
      </c>
    </row>
    <row r="3192" spans="1:8" ht="16.5">
      <c r="F3192" s="42" t="s">
        <v>1708</v>
      </c>
      <c r="G3192" s="106"/>
      <c r="H3192" s="65">
        <f>SUM(H3190:H3191)</f>
        <v>182.92000000000002</v>
      </c>
    </row>
    <row r="3193" spans="1:8" ht="16.5">
      <c r="B3193" s="1" t="s">
        <v>1710</v>
      </c>
      <c r="F3193" s="42" t="s">
        <v>1688</v>
      </c>
      <c r="G3193" s="106"/>
      <c r="H3193" s="103">
        <f>FLOOR(H3192*0.15,0.01)</f>
        <v>27.43</v>
      </c>
    </row>
    <row r="3194" spans="1:8" ht="16.5">
      <c r="A3194" s="28"/>
      <c r="B3194" s="147">
        <f>+H3194</f>
        <v>210.35000000000002</v>
      </c>
      <c r="C3194" s="28" t="s">
        <v>3384</v>
      </c>
      <c r="D3194" s="103">
        <f>FLOOR(B3194/B3195,0.01)</f>
        <v>210.35</v>
      </c>
      <c r="E3194" s="1" t="s">
        <v>3385</v>
      </c>
      <c r="F3194" s="42" t="s">
        <v>1711</v>
      </c>
      <c r="G3194" s="106"/>
      <c r="H3194" s="103">
        <f>SUM(H3192:H3193)</f>
        <v>210.35000000000002</v>
      </c>
    </row>
    <row r="3195" spans="1:8" ht="16.5">
      <c r="B3195" s="149">
        <v>1</v>
      </c>
    </row>
    <row r="3196" spans="1:8" ht="16.5">
      <c r="B3196" s="149"/>
    </row>
    <row r="3197" spans="1:8" ht="16.5">
      <c r="B3197" s="149"/>
    </row>
    <row r="3198" spans="1:8" ht="15.75" customHeight="1">
      <c r="B3198" s="149"/>
    </row>
    <row r="3199" spans="1:8" ht="20.100000000000001" customHeight="1">
      <c r="A3199" s="282">
        <f>+A3187+1</f>
        <v>196</v>
      </c>
      <c r="B3199" s="1076" t="s">
        <v>4062</v>
      </c>
      <c r="C3199" s="1077"/>
      <c r="D3199" s="1077"/>
      <c r="E3199" s="1077"/>
      <c r="F3199" s="1077"/>
      <c r="G3199" s="1077"/>
      <c r="H3199" s="1077"/>
    </row>
    <row r="3200" spans="1:8">
      <c r="A3200" s="1019"/>
      <c r="B3200" s="1075" t="s">
        <v>1591</v>
      </c>
      <c r="C3200" s="1075"/>
      <c r="D3200" s="1075"/>
      <c r="E3200" s="1075"/>
      <c r="F3200" s="1075"/>
      <c r="G3200" s="1075"/>
      <c r="H3200" s="1075"/>
    </row>
    <row r="3201" spans="1:8" ht="31.5">
      <c r="B3201" s="70" t="s">
        <v>3340</v>
      </c>
      <c r="C3201" s="70" t="s">
        <v>3341</v>
      </c>
      <c r="D3201" s="70" t="s">
        <v>3342</v>
      </c>
      <c r="E3201" s="70" t="s">
        <v>3343</v>
      </c>
      <c r="F3201" s="70" t="s">
        <v>3344</v>
      </c>
      <c r="G3201" s="70" t="s">
        <v>3345</v>
      </c>
      <c r="H3201" s="70" t="s">
        <v>1704</v>
      </c>
    </row>
    <row r="3202" spans="1:8" ht="17.25">
      <c r="A3202" s="28"/>
      <c r="B3202" s="1067" t="s">
        <v>614</v>
      </c>
      <c r="C3202" s="82" t="s">
        <v>790</v>
      </c>
      <c r="D3202" s="44">
        <v>5</v>
      </c>
      <c r="E3202" s="55" t="s">
        <v>1707</v>
      </c>
      <c r="F3202" s="120">
        <f>'update Rate'!$F$5</f>
        <v>525</v>
      </c>
      <c r="G3202" s="111">
        <f>FLOOR(D3202*F3202,0.01)</f>
        <v>2625</v>
      </c>
      <c r="H3202" s="112"/>
    </row>
    <row r="3203" spans="1:8" ht="17.25">
      <c r="B3203" s="1068"/>
      <c r="C3203" s="80" t="s">
        <v>615</v>
      </c>
      <c r="D3203" s="45">
        <v>2</v>
      </c>
      <c r="E3203" s="58" t="s">
        <v>1707</v>
      </c>
      <c r="F3203" s="126">
        <f>'update Rate'!E4</f>
        <v>375</v>
      </c>
      <c r="G3203" s="126">
        <f>FLOOR(D3203*F3203,0.01)</f>
        <v>750</v>
      </c>
      <c r="H3203" s="127">
        <f>SUM(G3202+G3203)</f>
        <v>3375</v>
      </c>
    </row>
    <row r="3204" spans="1:8">
      <c r="B3204" s="1067" t="s">
        <v>2330</v>
      </c>
      <c r="C3204" s="1067" t="s">
        <v>4063</v>
      </c>
      <c r="D3204" s="189"/>
      <c r="E3204" s="1067" t="s">
        <v>2844</v>
      </c>
      <c r="F3204" s="111"/>
      <c r="G3204" s="204"/>
      <c r="H3204" s="8"/>
    </row>
    <row r="3205" spans="1:8">
      <c r="B3205" s="1068"/>
      <c r="C3205" s="1068"/>
      <c r="D3205" s="271">
        <v>9</v>
      </c>
      <c r="E3205" s="1068"/>
      <c r="F3205" s="127">
        <f>'update Rate'!$F$155</f>
        <v>530</v>
      </c>
      <c r="G3205" s="126">
        <f>FLOOR(D3205*F3205,0.01)</f>
        <v>4770</v>
      </c>
      <c r="H3205" s="127">
        <f>SUM(G3205+G3206+G3207)</f>
        <v>4770</v>
      </c>
    </row>
    <row r="3206" spans="1:8" ht="20.100000000000001" customHeight="1">
      <c r="F3206" s="42" t="s">
        <v>1708</v>
      </c>
      <c r="G3206" s="106"/>
      <c r="H3206" s="65">
        <f>SUM(H3202:H3205)</f>
        <v>8145</v>
      </c>
    </row>
    <row r="3207" spans="1:8" ht="16.5">
      <c r="B3207" s="1" t="s">
        <v>1710</v>
      </c>
      <c r="F3207" s="42" t="s">
        <v>1688</v>
      </c>
      <c r="G3207" s="106"/>
      <c r="H3207" s="103">
        <f>FLOOR(H3206*0.15,0.01)</f>
        <v>1221.75</v>
      </c>
    </row>
    <row r="3208" spans="1:8" ht="20.100000000000001" customHeight="1">
      <c r="A3208" s="28"/>
      <c r="B3208" s="147">
        <f>+H3208</f>
        <v>9366.75</v>
      </c>
      <c r="C3208" s="28" t="s">
        <v>3384</v>
      </c>
      <c r="D3208" s="103">
        <f>FLOOR(B3208/B3209,0.01)</f>
        <v>93.66</v>
      </c>
      <c r="E3208" s="1" t="s">
        <v>3385</v>
      </c>
      <c r="F3208" s="42" t="s">
        <v>1711</v>
      </c>
      <c r="G3208" s="106"/>
      <c r="H3208" s="103">
        <f>SUM(H3206:H3207)</f>
        <v>9366.75</v>
      </c>
    </row>
    <row r="3209" spans="1:8" ht="20.100000000000001" customHeight="1">
      <c r="B3209" s="149">
        <v>100</v>
      </c>
    </row>
    <row r="3210" spans="1:8" ht="20.100000000000001" customHeight="1">
      <c r="B3210" s="149"/>
    </row>
    <row r="3211" spans="1:8" ht="20.100000000000001" customHeight="1">
      <c r="B3211" s="149"/>
    </row>
    <row r="3212" spans="1:8" ht="20.100000000000001" customHeight="1">
      <c r="B3212" s="149"/>
    </row>
    <row r="3213" spans="1:8" ht="16.5">
      <c r="B3213" s="149"/>
    </row>
    <row r="3214" spans="1:8" ht="20.100000000000001" customHeight="1">
      <c r="A3214" s="282">
        <f>+A3199+1</f>
        <v>197</v>
      </c>
      <c r="B3214" s="1076" t="s">
        <v>4064</v>
      </c>
      <c r="C3214" s="1077"/>
      <c r="D3214" s="1077"/>
      <c r="E3214" s="1077"/>
      <c r="F3214" s="1077"/>
      <c r="G3214" s="1077"/>
      <c r="H3214" s="1077"/>
    </row>
    <row r="3215" spans="1:8" ht="20.100000000000001" customHeight="1">
      <c r="A3215" s="15" t="s">
        <v>131</v>
      </c>
      <c r="B3215" s="1075" t="s">
        <v>1591</v>
      </c>
      <c r="C3215" s="1075"/>
      <c r="D3215" s="1075"/>
      <c r="E3215" s="1075"/>
      <c r="F3215" s="1075"/>
      <c r="G3215" s="1075"/>
      <c r="H3215" s="1075"/>
    </row>
    <row r="3216" spans="1:8" ht="31.5">
      <c r="B3216" s="70" t="s">
        <v>3340</v>
      </c>
      <c r="C3216" s="70" t="s">
        <v>3341</v>
      </c>
      <c r="D3216" s="70" t="s">
        <v>3342</v>
      </c>
      <c r="E3216" s="70" t="s">
        <v>3343</v>
      </c>
      <c r="F3216" s="70" t="s">
        <v>3344</v>
      </c>
      <c r="G3216" s="70" t="s">
        <v>3345</v>
      </c>
      <c r="H3216" s="70" t="s">
        <v>1704</v>
      </c>
    </row>
    <row r="3217" spans="1:8" ht="20.100000000000001" customHeight="1">
      <c r="A3217" s="28"/>
      <c r="B3217" s="1067" t="s">
        <v>614</v>
      </c>
      <c r="C3217" s="82" t="s">
        <v>790</v>
      </c>
      <c r="D3217" s="44">
        <v>9</v>
      </c>
      <c r="E3217" s="55" t="s">
        <v>1707</v>
      </c>
      <c r="F3217" s="120">
        <f>'update Rate'!$F$5</f>
        <v>525</v>
      </c>
      <c r="G3217" s="111">
        <f>FLOOR(D3217*F3217,0.01)</f>
        <v>4725</v>
      </c>
      <c r="H3217" s="112"/>
    </row>
    <row r="3218" spans="1:8" ht="20.100000000000001" customHeight="1">
      <c r="B3218" s="1068"/>
      <c r="C3218" s="80" t="s">
        <v>615</v>
      </c>
      <c r="D3218" s="45">
        <v>5</v>
      </c>
      <c r="E3218" s="58" t="s">
        <v>1707</v>
      </c>
      <c r="F3218" s="126">
        <f>'update Rate'!E4</f>
        <v>375</v>
      </c>
      <c r="G3218" s="65">
        <f>FLOOR(D3218*F3218,0.01)</f>
        <v>1875</v>
      </c>
      <c r="H3218" s="127">
        <f>SUM(G3217+G3218)</f>
        <v>6600</v>
      </c>
    </row>
    <row r="3219" spans="1:8" ht="3.75" customHeight="1">
      <c r="B3219" s="1067" t="s">
        <v>2330</v>
      </c>
      <c r="C3219" s="82"/>
      <c r="D3219" s="44"/>
      <c r="E3219" s="55"/>
      <c r="F3219" s="120"/>
      <c r="G3219" s="120"/>
      <c r="H3219" s="112"/>
    </row>
    <row r="3220" spans="1:8" ht="27" customHeight="1">
      <c r="B3220" s="1093"/>
      <c r="C3220" s="838" t="s">
        <v>4063</v>
      </c>
      <c r="D3220" s="44">
        <v>16</v>
      </c>
      <c r="E3220" s="55" t="s">
        <v>2844</v>
      </c>
      <c r="F3220" s="113">
        <f>'update Rate'!F155</f>
        <v>530</v>
      </c>
      <c r="G3220" s="113">
        <f>FLOOR(D3220*F3220,0.01)</f>
        <v>8480</v>
      </c>
      <c r="H3220" s="9"/>
    </row>
    <row r="3221" spans="1:8" ht="12.75" customHeight="1">
      <c r="B3221" s="1099"/>
      <c r="C3221" s="80"/>
      <c r="D3221" s="45"/>
      <c r="E3221" s="58"/>
      <c r="F3221" s="126"/>
      <c r="G3221" s="135"/>
      <c r="H3221" s="127">
        <f>SUM(G3220+G3221+G3222)</f>
        <v>8480</v>
      </c>
    </row>
    <row r="3222" spans="1:8" ht="20.100000000000001" customHeight="1">
      <c r="A3222" s="25"/>
      <c r="F3222" s="42" t="s">
        <v>1708</v>
      </c>
      <c r="G3222" s="106"/>
      <c r="H3222" s="65">
        <f>SUM(H3218:H3221)</f>
        <v>15080</v>
      </c>
    </row>
    <row r="3223" spans="1:8" ht="16.5">
      <c r="B3223" s="1" t="s">
        <v>1710</v>
      </c>
      <c r="F3223" s="42" t="s">
        <v>1688</v>
      </c>
      <c r="G3223" s="106"/>
      <c r="H3223" s="103">
        <f>FLOOR(H3222*0.15,0.01)</f>
        <v>2262</v>
      </c>
    </row>
    <row r="3224" spans="1:8" ht="20.100000000000001" customHeight="1">
      <c r="A3224" s="28"/>
      <c r="B3224" s="147">
        <f>+H3224</f>
        <v>17342</v>
      </c>
      <c r="C3224" s="28" t="s">
        <v>3384</v>
      </c>
      <c r="D3224" s="103">
        <f>FLOOR(B3224/B3225,0.01)</f>
        <v>173.42000000000002</v>
      </c>
      <c r="E3224" s="1" t="s">
        <v>3385</v>
      </c>
      <c r="F3224" s="42" t="s">
        <v>1711</v>
      </c>
      <c r="G3224" s="106"/>
      <c r="H3224" s="103">
        <f>SUM(H3222:H3223)</f>
        <v>17342</v>
      </c>
    </row>
    <row r="3225" spans="1:8" ht="17.25">
      <c r="A3225" s="28"/>
      <c r="B3225" s="149">
        <v>100</v>
      </c>
      <c r="C3225" s="28"/>
      <c r="D3225" s="151"/>
      <c r="F3225" s="42"/>
      <c r="G3225" s="106"/>
      <c r="H3225" s="151"/>
    </row>
    <row r="3226" spans="1:8">
      <c r="A3226" s="32"/>
    </row>
    <row r="3227" spans="1:8" ht="20.100000000000001" customHeight="1">
      <c r="A3227" s="282">
        <f>+A3214+1</f>
        <v>198</v>
      </c>
      <c r="B3227" s="1076" t="s">
        <v>3003</v>
      </c>
      <c r="C3227" s="1077"/>
      <c r="D3227" s="1077"/>
      <c r="E3227" s="1077"/>
      <c r="F3227" s="1077"/>
      <c r="G3227" s="1077"/>
      <c r="H3227" s="1077"/>
    </row>
    <row r="3228" spans="1:8" ht="20.100000000000001" customHeight="1">
      <c r="A3228" s="1019" t="s">
        <v>4444</v>
      </c>
      <c r="B3228" s="1074" t="s">
        <v>1592</v>
      </c>
      <c r="C3228" s="1075"/>
      <c r="D3228" s="1075"/>
      <c r="E3228" s="1075"/>
      <c r="F3228" s="1075"/>
      <c r="G3228" s="1075"/>
      <c r="H3228" s="1075"/>
    </row>
    <row r="3229" spans="1:8">
      <c r="B3229" s="3"/>
      <c r="F3229" s="3"/>
      <c r="G3229" s="3"/>
      <c r="H3229" s="3"/>
    </row>
    <row r="3230" spans="1:8" ht="31.5">
      <c r="B3230" s="70" t="s">
        <v>3340</v>
      </c>
      <c r="C3230" s="70" t="s">
        <v>3341</v>
      </c>
      <c r="D3230" s="70" t="s">
        <v>3342</v>
      </c>
      <c r="E3230" s="70" t="s">
        <v>3343</v>
      </c>
      <c r="F3230" s="70" t="s">
        <v>3344</v>
      </c>
      <c r="G3230" s="70" t="s">
        <v>3345</v>
      </c>
      <c r="H3230" s="70" t="s">
        <v>1704</v>
      </c>
    </row>
    <row r="3231" spans="1:8" ht="20.100000000000001" customHeight="1">
      <c r="B3231" s="1067" t="s">
        <v>1705</v>
      </c>
      <c r="C3231" s="60" t="s">
        <v>610</v>
      </c>
      <c r="D3231" s="43">
        <v>10.75</v>
      </c>
      <c r="E3231" s="57" t="s">
        <v>1707</v>
      </c>
      <c r="F3231" s="111">
        <f>'update Rate'!F5</f>
        <v>525</v>
      </c>
      <c r="G3231" s="111">
        <f>FLOOR(D3231*F3231,0.01)</f>
        <v>5643.75</v>
      </c>
      <c r="H3231" s="112"/>
    </row>
    <row r="3232" spans="1:8" ht="20.100000000000001" customHeight="1">
      <c r="B3232" s="1070"/>
      <c r="C3232" s="80" t="s">
        <v>1647</v>
      </c>
      <c r="D3232" s="45">
        <v>10.75</v>
      </c>
      <c r="E3232" s="58" t="s">
        <v>1707</v>
      </c>
      <c r="F3232" s="65">
        <f>'update Rate'!F4</f>
        <v>375</v>
      </c>
      <c r="G3232" s="65">
        <f>FLOOR(D3232*F3232,0.01)</f>
        <v>4031.25</v>
      </c>
      <c r="H3232" s="127">
        <f>SUM(G3231+G3232)</f>
        <v>9675</v>
      </c>
    </row>
    <row r="3233" spans="1:8" ht="20.100000000000001" customHeight="1">
      <c r="B3233" s="1069" t="s">
        <v>2330</v>
      </c>
      <c r="C3233" s="57" t="s">
        <v>1633</v>
      </c>
      <c r="D3233" s="43">
        <v>8.1</v>
      </c>
      <c r="E3233" s="57" t="s">
        <v>2844</v>
      </c>
      <c r="F3233" s="111">
        <f>'update Rate'!F152</f>
        <v>300</v>
      </c>
      <c r="G3233" s="114">
        <f>FLOOR(D3233*F3233,0.01)</f>
        <v>2430</v>
      </c>
      <c r="H3233" s="112"/>
    </row>
    <row r="3234" spans="1:8" ht="20.100000000000001" customHeight="1">
      <c r="B3234" s="1095"/>
      <c r="C3234" s="55" t="s">
        <v>2612</v>
      </c>
      <c r="D3234" s="44">
        <v>10.76</v>
      </c>
      <c r="E3234" s="55" t="s">
        <v>2844</v>
      </c>
      <c r="F3234" s="120">
        <f>'update Rate'!F156</f>
        <v>415</v>
      </c>
      <c r="G3234" s="113">
        <f>FLOOR(D3234*F3234,0.01)</f>
        <v>4465.4000000000005</v>
      </c>
      <c r="H3234" s="125"/>
    </row>
    <row r="3235" spans="1:8" ht="17.25">
      <c r="B3235" s="1070"/>
      <c r="C3235" s="58" t="s">
        <v>3002</v>
      </c>
      <c r="D3235" s="45">
        <v>4</v>
      </c>
      <c r="E3235" s="58" t="s">
        <v>803</v>
      </c>
      <c r="F3235" s="126">
        <f>'update Rate'!F160</f>
        <v>4</v>
      </c>
      <c r="G3235" s="65">
        <f>FLOOR(D3235*F3235,0.01)</f>
        <v>16</v>
      </c>
      <c r="H3235" s="127">
        <f>SUM(G3233:G3235)</f>
        <v>6911.4000000000005</v>
      </c>
    </row>
    <row r="3236" spans="1:8" ht="16.5">
      <c r="F3236" s="42" t="s">
        <v>1708</v>
      </c>
      <c r="G3236" s="138"/>
      <c r="H3236" s="65">
        <f>SUM(H3232:H3235)</f>
        <v>16586.400000000001</v>
      </c>
    </row>
    <row r="3237" spans="1:8" ht="16.5">
      <c r="B3237" s="1" t="s">
        <v>1710</v>
      </c>
      <c r="F3237" s="42" t="s">
        <v>1689</v>
      </c>
      <c r="G3237" s="138"/>
      <c r="H3237" s="103">
        <f>FLOOR(H3236*0.15,0.01)</f>
        <v>2487.96</v>
      </c>
    </row>
    <row r="3238" spans="1:8" ht="36.75" customHeight="1">
      <c r="A3238"/>
      <c r="B3238" s="147">
        <f>+H3238</f>
        <v>19074.36</v>
      </c>
      <c r="C3238" s="28" t="s">
        <v>3384</v>
      </c>
      <c r="D3238" s="103">
        <f>INT(B3238/B3239*100)/100</f>
        <v>190.74</v>
      </c>
      <c r="E3238" s="1" t="s">
        <v>3385</v>
      </c>
      <c r="F3238" s="42" t="s">
        <v>1711</v>
      </c>
      <c r="G3238" s="138"/>
      <c r="H3238" s="103">
        <f>SUM(H3236:H3237)</f>
        <v>19074.36</v>
      </c>
    </row>
    <row r="3239" spans="1:8" ht="20.100000000000001" customHeight="1">
      <c r="B3239" s="121">
        <v>100</v>
      </c>
    </row>
    <row r="3240" spans="1:8" ht="20.100000000000001" customHeight="1">
      <c r="B3240" s="121"/>
    </row>
    <row r="3241" spans="1:8" ht="20.100000000000001" customHeight="1">
      <c r="B3241" s="121"/>
    </row>
    <row r="3242" spans="1:8" ht="20.100000000000001" customHeight="1">
      <c r="A3242" s="33"/>
    </row>
    <row r="3243" spans="1:8" ht="20.100000000000001" customHeight="1">
      <c r="A3243" s="282">
        <f>A3227+1</f>
        <v>199</v>
      </c>
      <c r="B3243" s="1076" t="s">
        <v>2613</v>
      </c>
      <c r="C3243" s="1077"/>
      <c r="D3243" s="1077"/>
      <c r="E3243" s="1077"/>
      <c r="F3243" s="1077"/>
      <c r="G3243" s="1077"/>
      <c r="H3243" s="1077"/>
    </row>
    <row r="3244" spans="1:8" ht="20.100000000000001" customHeight="1">
      <c r="A3244" s="1019" t="s">
        <v>4445</v>
      </c>
      <c r="B3244" s="1074" t="s">
        <v>1592</v>
      </c>
      <c r="C3244" s="1075"/>
      <c r="D3244" s="1075"/>
      <c r="E3244" s="1075"/>
      <c r="F3244" s="1075"/>
      <c r="G3244" s="1075"/>
      <c r="H3244" s="1075"/>
    </row>
    <row r="3245" spans="1:8" ht="31.5">
      <c r="B3245" s="70" t="s">
        <v>3340</v>
      </c>
      <c r="C3245" s="70" t="s">
        <v>3341</v>
      </c>
      <c r="D3245" s="70" t="s">
        <v>3342</v>
      </c>
      <c r="E3245" s="70" t="s">
        <v>3343</v>
      </c>
      <c r="F3245" s="70" t="s">
        <v>3344</v>
      </c>
      <c r="G3245" s="70" t="s">
        <v>3345</v>
      </c>
      <c r="H3245" s="70" t="s">
        <v>1704</v>
      </c>
    </row>
    <row r="3246" spans="1:8" ht="20.100000000000001" customHeight="1">
      <c r="B3246" s="1067" t="s">
        <v>1705</v>
      </c>
      <c r="C3246" s="60" t="s">
        <v>610</v>
      </c>
      <c r="D3246" s="43">
        <v>2</v>
      </c>
      <c r="E3246" s="57" t="s">
        <v>1707</v>
      </c>
      <c r="F3246" s="111">
        <f>'update Rate'!F5</f>
        <v>525</v>
      </c>
      <c r="G3246" s="111">
        <f>FLOOR(D3246*F3246,0.01)</f>
        <v>1050</v>
      </c>
      <c r="H3246" s="112"/>
    </row>
    <row r="3247" spans="1:8" ht="17.25">
      <c r="B3247" s="1070"/>
      <c r="C3247" s="80" t="s">
        <v>1647</v>
      </c>
      <c r="D3247" s="45">
        <v>2</v>
      </c>
      <c r="E3247" s="58" t="s">
        <v>1707</v>
      </c>
      <c r="F3247" s="65">
        <f>'update Rate'!F4</f>
        <v>375</v>
      </c>
      <c r="G3247" s="65">
        <f>FLOOR(D3247*F3247,0.01)</f>
        <v>750</v>
      </c>
      <c r="H3247" s="127">
        <f>SUM(G3246+G3247)</f>
        <v>1800</v>
      </c>
    </row>
    <row r="3248" spans="1:8" ht="20.100000000000001" customHeight="1">
      <c r="B3248" s="68" t="s">
        <v>2330</v>
      </c>
      <c r="C3248" s="70" t="s">
        <v>2614</v>
      </c>
      <c r="D3248" s="46">
        <v>6</v>
      </c>
      <c r="E3248" s="66" t="s">
        <v>2844</v>
      </c>
      <c r="F3248" s="105">
        <f>'update Rate'!F161</f>
        <v>165</v>
      </c>
      <c r="G3248" s="103">
        <f>FLOOR(D3248*F3248,0.01)</f>
        <v>990</v>
      </c>
      <c r="H3248" s="103">
        <f>(G3248)</f>
        <v>990</v>
      </c>
    </row>
    <row r="3249" spans="1:8" ht="20.100000000000001" customHeight="1">
      <c r="B3249" s="205"/>
      <c r="F3249" s="42" t="s">
        <v>1708</v>
      </c>
      <c r="G3249" s="138"/>
      <c r="H3249" s="127">
        <f>SUM(H3247,H3248)</f>
        <v>2790</v>
      </c>
    </row>
    <row r="3250" spans="1:8" ht="20.100000000000001" customHeight="1">
      <c r="B3250" s="1" t="s">
        <v>1710</v>
      </c>
      <c r="F3250" s="42" t="s">
        <v>1688</v>
      </c>
      <c r="G3250" s="138"/>
      <c r="H3250" s="103">
        <f>FLOOR(H3249*0.15,0.01)</f>
        <v>418.5</v>
      </c>
    </row>
    <row r="3251" spans="1:8" ht="20.100000000000001" customHeight="1">
      <c r="A3251"/>
      <c r="B3251" s="147">
        <f>+H3251</f>
        <v>3208.5</v>
      </c>
      <c r="C3251" s="28" t="s">
        <v>3384</v>
      </c>
      <c r="D3251" s="103">
        <f>INT(B3251/B3252*100)/100</f>
        <v>32.08</v>
      </c>
      <c r="E3251" s="1" t="s">
        <v>3385</v>
      </c>
      <c r="F3251" s="42" t="s">
        <v>1711</v>
      </c>
      <c r="G3251" s="138"/>
      <c r="H3251" s="103">
        <f>SUM(H3249:H3250)</f>
        <v>3208.5</v>
      </c>
    </row>
    <row r="3252" spans="1:8" ht="20.100000000000001" customHeight="1">
      <c r="B3252" s="121">
        <v>100</v>
      </c>
      <c r="C3252" s="205"/>
      <c r="D3252" s="206"/>
      <c r="E3252" s="205"/>
    </row>
    <row r="3253" spans="1:8" ht="20.100000000000001" customHeight="1">
      <c r="B3253" s="121"/>
      <c r="C3253" s="205"/>
      <c r="D3253" s="206"/>
      <c r="E3253" s="205"/>
    </row>
    <row r="3254" spans="1:8" ht="20.100000000000001" customHeight="1">
      <c r="B3254" s="121"/>
      <c r="C3254" s="205"/>
      <c r="D3254" s="206"/>
      <c r="E3254" s="205"/>
    </row>
    <row r="3255" spans="1:8" ht="20.100000000000001" customHeight="1">
      <c r="B3255" s="121"/>
      <c r="C3255" s="205"/>
      <c r="D3255" s="206"/>
      <c r="E3255" s="205"/>
    </row>
    <row r="3256" spans="1:8" ht="15.75">
      <c r="B3256" s="205"/>
      <c r="F3256" s="277"/>
    </row>
    <row r="3257" spans="1:8" ht="20.100000000000001" customHeight="1">
      <c r="A3257" s="282">
        <f>+A3243+1</f>
        <v>200</v>
      </c>
      <c r="B3257" s="1076" t="s">
        <v>2615</v>
      </c>
      <c r="C3257" s="1077"/>
      <c r="D3257" s="1077"/>
      <c r="E3257" s="1077"/>
      <c r="F3257" s="1077"/>
      <c r="G3257" s="1077"/>
      <c r="H3257" s="1077"/>
    </row>
    <row r="3258" spans="1:8" ht="20.100000000000001" customHeight="1">
      <c r="A3258" s="1019" t="s">
        <v>4445</v>
      </c>
      <c r="B3258" s="1074" t="s">
        <v>1592</v>
      </c>
      <c r="C3258" s="1075"/>
      <c r="D3258" s="1075"/>
      <c r="E3258" s="1075"/>
      <c r="F3258" s="1075"/>
      <c r="G3258" s="1075"/>
      <c r="H3258" s="1075"/>
    </row>
    <row r="3259" spans="1:8" ht="6.75" customHeight="1">
      <c r="B3259" s="3"/>
      <c r="C3259" s="205"/>
      <c r="D3259" s="206"/>
      <c r="E3259" s="205"/>
      <c r="F3259" s="3"/>
      <c r="G3259" s="3"/>
      <c r="H3259" s="3"/>
    </row>
    <row r="3260" spans="1:8" ht="31.5">
      <c r="B3260" s="70" t="s">
        <v>3340</v>
      </c>
      <c r="C3260" s="70" t="s">
        <v>3341</v>
      </c>
      <c r="D3260" s="70" t="s">
        <v>3342</v>
      </c>
      <c r="E3260" s="70" t="s">
        <v>3343</v>
      </c>
      <c r="F3260" s="70" t="s">
        <v>3344</v>
      </c>
      <c r="G3260" s="70" t="s">
        <v>3345</v>
      </c>
      <c r="H3260" s="70" t="s">
        <v>1704</v>
      </c>
    </row>
    <row r="3261" spans="1:8" ht="20.100000000000001" customHeight="1">
      <c r="B3261" s="1067" t="s">
        <v>1705</v>
      </c>
      <c r="C3261" s="60" t="s">
        <v>610</v>
      </c>
      <c r="D3261" s="43">
        <v>4</v>
      </c>
      <c r="E3261" s="57" t="s">
        <v>1707</v>
      </c>
      <c r="F3261" s="111">
        <f>'update Rate'!F5</f>
        <v>525</v>
      </c>
      <c r="G3261" s="111">
        <f>FLOOR(D3261*F3261,0.01)</f>
        <v>2100</v>
      </c>
      <c r="H3261" s="112"/>
    </row>
    <row r="3262" spans="1:8" ht="20.100000000000001" customHeight="1">
      <c r="B3262" s="1070"/>
      <c r="C3262" s="80" t="s">
        <v>1647</v>
      </c>
      <c r="D3262" s="45">
        <v>4</v>
      </c>
      <c r="E3262" s="58" t="s">
        <v>1707</v>
      </c>
      <c r="F3262" s="65">
        <f>'update Rate'!F4</f>
        <v>375</v>
      </c>
      <c r="G3262" s="65">
        <f>FLOOR(D3262*F3262,0.01)</f>
        <v>1500</v>
      </c>
      <c r="H3262" s="127">
        <f>SUM(G3261+G3262)</f>
        <v>3600</v>
      </c>
    </row>
    <row r="3263" spans="1:8" ht="20.100000000000001" customHeight="1">
      <c r="B3263" s="68" t="s">
        <v>2330</v>
      </c>
      <c r="C3263" s="68" t="s">
        <v>2614</v>
      </c>
      <c r="D3263" s="945">
        <v>11</v>
      </c>
      <c r="E3263" s="68" t="s">
        <v>2844</v>
      </c>
      <c r="F3263" s="65">
        <f>'update Rate'!F161</f>
        <v>165</v>
      </c>
      <c r="G3263" s="103">
        <f>FLOOR(D3263*F3263,0.01)</f>
        <v>1815</v>
      </c>
      <c r="H3263" s="130">
        <f>SUM(G3263:G3263)</f>
        <v>1815</v>
      </c>
    </row>
    <row r="3264" spans="1:8" ht="20.100000000000001" customHeight="1">
      <c r="F3264" s="42" t="s">
        <v>1708</v>
      </c>
      <c r="G3264" s="138"/>
      <c r="H3264" s="65">
        <f>SUM(H3262:H3263)</f>
        <v>5415</v>
      </c>
    </row>
    <row r="3265" spans="1:8" ht="16.5">
      <c r="B3265" s="1" t="s">
        <v>1710</v>
      </c>
      <c r="F3265" s="42" t="s">
        <v>1688</v>
      </c>
      <c r="G3265" s="138"/>
      <c r="H3265" s="103">
        <f>FLOOR(H3264*0.15,0.01)</f>
        <v>812.25</v>
      </c>
    </row>
    <row r="3266" spans="1:8" ht="20.100000000000001" customHeight="1">
      <c r="A3266"/>
      <c r="B3266" s="147">
        <f>+H3266</f>
        <v>6227.25</v>
      </c>
      <c r="C3266" s="28" t="s">
        <v>3384</v>
      </c>
      <c r="D3266" s="103">
        <f>INT(B3266/B3267*100)/100</f>
        <v>62.27</v>
      </c>
      <c r="E3266" s="1" t="s">
        <v>3385</v>
      </c>
      <c r="F3266" s="42" t="s">
        <v>1711</v>
      </c>
      <c r="G3266" s="138"/>
      <c r="H3266" s="103">
        <f>SUM(H3264:H3265)</f>
        <v>6227.25</v>
      </c>
    </row>
    <row r="3267" spans="1:8" ht="20.100000000000001" customHeight="1">
      <c r="B3267" s="121">
        <v>100</v>
      </c>
    </row>
    <row r="3268" spans="1:8">
      <c r="B3268" s="121"/>
    </row>
    <row r="3269" spans="1:8" ht="20.100000000000001" customHeight="1">
      <c r="A3269" s="282">
        <f>+A3257+1</f>
        <v>201</v>
      </c>
      <c r="B3269" s="1076" t="s">
        <v>3403</v>
      </c>
      <c r="C3269" s="1077"/>
      <c r="D3269" s="1077"/>
      <c r="E3269" s="1077"/>
      <c r="F3269" s="1077"/>
      <c r="G3269" s="1077"/>
      <c r="H3269" s="1077"/>
    </row>
    <row r="3270" spans="1:8" ht="20.100000000000001" customHeight="1">
      <c r="A3270" s="1019" t="s">
        <v>4446</v>
      </c>
      <c r="B3270" s="1074" t="s">
        <v>1592</v>
      </c>
      <c r="C3270" s="1075"/>
      <c r="D3270" s="1075"/>
      <c r="E3270" s="1075"/>
      <c r="F3270" s="1075"/>
      <c r="G3270" s="1075"/>
      <c r="H3270" s="1075"/>
    </row>
    <row r="3271" spans="1:8" ht="31.5">
      <c r="B3271" s="70" t="s">
        <v>3340</v>
      </c>
      <c r="C3271" s="70" t="s">
        <v>3341</v>
      </c>
      <c r="D3271" s="70" t="s">
        <v>3342</v>
      </c>
      <c r="E3271" s="70" t="s">
        <v>3343</v>
      </c>
      <c r="F3271" s="70" t="s">
        <v>3344</v>
      </c>
      <c r="G3271" s="70" t="s">
        <v>3345</v>
      </c>
      <c r="H3271" s="70" t="s">
        <v>1704</v>
      </c>
    </row>
    <row r="3272" spans="1:8" ht="20.100000000000001" customHeight="1">
      <c r="B3272" s="1067" t="s">
        <v>1705</v>
      </c>
      <c r="C3272" s="60" t="s">
        <v>610</v>
      </c>
      <c r="D3272" s="43">
        <v>3</v>
      </c>
      <c r="E3272" s="57" t="s">
        <v>1707</v>
      </c>
      <c r="F3272" s="111">
        <f>'update Rate'!F5</f>
        <v>525</v>
      </c>
      <c r="G3272" s="111">
        <f>FLOOR(D3272*F3272,0.01)</f>
        <v>1575</v>
      </c>
      <c r="H3272" s="112"/>
    </row>
    <row r="3273" spans="1:8" ht="20.100000000000001" customHeight="1">
      <c r="B3273" s="1070"/>
      <c r="C3273" s="80" t="s">
        <v>1647</v>
      </c>
      <c r="D3273" s="45">
        <v>2</v>
      </c>
      <c r="E3273" s="58" t="s">
        <v>1707</v>
      </c>
      <c r="F3273" s="65">
        <f>'update Rate'!F4</f>
        <v>375</v>
      </c>
      <c r="G3273" s="65">
        <f>FLOOR(D3273*F3273,0.01)</f>
        <v>750</v>
      </c>
      <c r="H3273" s="127">
        <f>SUM(G3272+G3273)</f>
        <v>2325</v>
      </c>
    </row>
    <row r="3274" spans="1:8" ht="15.75">
      <c r="B3274" s="68" t="s">
        <v>2330</v>
      </c>
      <c r="C3274" s="68" t="s">
        <v>2616</v>
      </c>
      <c r="D3274" s="945">
        <v>6</v>
      </c>
      <c r="E3274" s="68" t="s">
        <v>2844</v>
      </c>
      <c r="F3274" s="65">
        <f>'update Rate'!F162</f>
        <v>370</v>
      </c>
      <c r="G3274" s="103">
        <f>FLOOR(D3274*F3274,0.01)</f>
        <v>2220</v>
      </c>
      <c r="H3274" s="130">
        <f>SUM(G3274:G3274)</f>
        <v>2220</v>
      </c>
    </row>
    <row r="3275" spans="1:8" ht="16.5">
      <c r="F3275" s="42" t="s">
        <v>1708</v>
      </c>
      <c r="G3275" s="138"/>
      <c r="H3275" s="65">
        <f>SUM(H3273:H3274)</f>
        <v>4545</v>
      </c>
    </row>
    <row r="3276" spans="1:8" ht="20.100000000000001" customHeight="1">
      <c r="B3276" s="1" t="s">
        <v>1710</v>
      </c>
      <c r="F3276" s="42" t="s">
        <v>1688</v>
      </c>
      <c r="G3276" s="138"/>
      <c r="H3276" s="103">
        <f>FLOOR(H3275*0.15,0.01)</f>
        <v>681.75</v>
      </c>
    </row>
    <row r="3277" spans="1:8" ht="16.5">
      <c r="A3277"/>
      <c r="B3277" s="147">
        <f>+H3277</f>
        <v>5226.75</v>
      </c>
      <c r="C3277" s="28" t="s">
        <v>3384</v>
      </c>
      <c r="D3277" s="103">
        <f>INT(B3277/B3278*100)/100</f>
        <v>52.26</v>
      </c>
      <c r="E3277" s="1" t="s">
        <v>3385</v>
      </c>
      <c r="F3277" s="42" t="s">
        <v>1711</v>
      </c>
      <c r="G3277" s="138"/>
      <c r="H3277" s="103">
        <f>SUM(H3275:H3276)</f>
        <v>5226.75</v>
      </c>
    </row>
    <row r="3278" spans="1:8" ht="20.100000000000001" customHeight="1">
      <c r="B3278" s="121">
        <v>100</v>
      </c>
    </row>
    <row r="3279" spans="1:8" ht="20.100000000000001" customHeight="1">
      <c r="B3279" s="121"/>
    </row>
    <row r="3280" spans="1:8" ht="20.100000000000001" customHeight="1">
      <c r="A3280" s="33"/>
    </row>
    <row r="3281" spans="1:8" ht="20.100000000000001" customHeight="1">
      <c r="A3281" s="282">
        <f>+A3269+1</f>
        <v>202</v>
      </c>
      <c r="B3281" s="1076" t="s">
        <v>3404</v>
      </c>
      <c r="C3281" s="1077"/>
      <c r="D3281" s="1077"/>
      <c r="E3281" s="1077"/>
      <c r="F3281" s="1077"/>
      <c r="G3281" s="1077"/>
      <c r="H3281" s="1077"/>
    </row>
    <row r="3282" spans="1:8">
      <c r="A3282" s="1019" t="s">
        <v>4446</v>
      </c>
      <c r="B3282" s="1074" t="s">
        <v>1592</v>
      </c>
      <c r="C3282" s="1075"/>
      <c r="D3282" s="1075"/>
      <c r="E3282" s="1075"/>
      <c r="F3282" s="1075"/>
      <c r="G3282" s="1075"/>
      <c r="H3282" s="1075"/>
    </row>
    <row r="3283" spans="1:8">
      <c r="B3283" s="3"/>
      <c r="F3283" s="3"/>
      <c r="G3283" s="3"/>
      <c r="H3283" s="3"/>
    </row>
    <row r="3284" spans="1:8" ht="31.5">
      <c r="B3284" s="70" t="s">
        <v>3340</v>
      </c>
      <c r="C3284" s="70" t="s">
        <v>3341</v>
      </c>
      <c r="D3284" s="70" t="s">
        <v>3342</v>
      </c>
      <c r="E3284" s="70" t="s">
        <v>3343</v>
      </c>
      <c r="F3284" s="70" t="s">
        <v>3344</v>
      </c>
      <c r="G3284" s="70" t="s">
        <v>3345</v>
      </c>
      <c r="H3284" s="70" t="s">
        <v>1704</v>
      </c>
    </row>
    <row r="3285" spans="1:8" ht="20.100000000000001" customHeight="1">
      <c r="B3285" s="1067" t="s">
        <v>1705</v>
      </c>
      <c r="C3285" s="60" t="s">
        <v>610</v>
      </c>
      <c r="D3285" s="43">
        <v>6</v>
      </c>
      <c r="E3285" s="57" t="s">
        <v>1707</v>
      </c>
      <c r="F3285" s="111">
        <f>'update Rate'!F5</f>
        <v>525</v>
      </c>
      <c r="G3285" s="111">
        <f>FLOOR(D3285*F3285,0.01)</f>
        <v>3150</v>
      </c>
      <c r="H3285" s="112"/>
    </row>
    <row r="3286" spans="1:8" ht="20.100000000000001" customHeight="1">
      <c r="B3286" s="1070"/>
      <c r="C3286" s="80" t="s">
        <v>1647</v>
      </c>
      <c r="D3286" s="45">
        <v>4</v>
      </c>
      <c r="E3286" s="58" t="s">
        <v>1707</v>
      </c>
      <c r="F3286" s="65">
        <f>'update Rate'!F4</f>
        <v>375</v>
      </c>
      <c r="G3286" s="65">
        <f>FLOOR(D3286*F3286,0.01)</f>
        <v>1500</v>
      </c>
      <c r="H3286" s="127">
        <f>SUM(G3285+G3286)</f>
        <v>4650</v>
      </c>
    </row>
    <row r="3287" spans="1:8" ht="20.100000000000001" customHeight="1">
      <c r="B3287" s="68" t="s">
        <v>2330</v>
      </c>
      <c r="C3287" s="68" t="s">
        <v>2616</v>
      </c>
      <c r="D3287" s="945">
        <v>11</v>
      </c>
      <c r="E3287" s="68" t="s">
        <v>2844</v>
      </c>
      <c r="F3287" s="65">
        <f>'update Rate'!F162</f>
        <v>370</v>
      </c>
      <c r="G3287" s="65">
        <f>FLOOR(D3287*F3287,0.01)</f>
        <v>4070</v>
      </c>
      <c r="H3287" s="65">
        <f>G3287</f>
        <v>4070</v>
      </c>
    </row>
    <row r="3288" spans="1:8" ht="16.5">
      <c r="F3288" s="42" t="s">
        <v>1708</v>
      </c>
      <c r="G3288" s="138"/>
      <c r="H3288" s="65">
        <f>SUM(H3286:H3287)</f>
        <v>8720</v>
      </c>
    </row>
    <row r="3289" spans="1:8" ht="20.100000000000001" customHeight="1">
      <c r="B3289" s="1" t="s">
        <v>1710</v>
      </c>
      <c r="F3289" s="42" t="s">
        <v>1688</v>
      </c>
      <c r="G3289" s="138"/>
      <c r="H3289" s="103">
        <f>FLOOR(H3288*0.15,0.01)</f>
        <v>1308</v>
      </c>
    </row>
    <row r="3290" spans="1:8" ht="20.100000000000001" customHeight="1">
      <c r="A3290"/>
      <c r="B3290" s="147">
        <f>+H3290</f>
        <v>10028</v>
      </c>
      <c r="C3290" s="28" t="s">
        <v>3384</v>
      </c>
      <c r="D3290" s="103">
        <f>INT(B3290/B3291*100)/100</f>
        <v>100.28</v>
      </c>
      <c r="E3290" s="1" t="s">
        <v>3385</v>
      </c>
      <c r="F3290" s="42" t="s">
        <v>1711</v>
      </c>
      <c r="G3290" s="138"/>
      <c r="H3290" s="103">
        <f>SUM(H3288:H3289)</f>
        <v>10028</v>
      </c>
    </row>
    <row r="3291" spans="1:8" ht="20.100000000000001" customHeight="1">
      <c r="B3291" s="121">
        <v>100</v>
      </c>
    </row>
    <row r="3292" spans="1:8" ht="20.100000000000001" customHeight="1">
      <c r="B3292" s="121"/>
    </row>
    <row r="3293" spans="1:8" ht="20.100000000000001" customHeight="1">
      <c r="B3293" s="121"/>
    </row>
    <row r="3294" spans="1:8" ht="20.100000000000001" customHeight="1">
      <c r="B3294" s="121"/>
    </row>
    <row r="3295" spans="1:8" ht="20.100000000000001" customHeight="1">
      <c r="A3295" s="32"/>
    </row>
    <row r="3296" spans="1:8" ht="19.5">
      <c r="A3296" s="282">
        <f>+A3281+1</f>
        <v>203</v>
      </c>
      <c r="B3296" s="1076" t="s">
        <v>2668</v>
      </c>
      <c r="C3296" s="1077"/>
      <c r="D3296" s="1077"/>
      <c r="E3296" s="1077"/>
      <c r="F3296" s="1077"/>
      <c r="G3296" s="1077"/>
      <c r="H3296" s="1077"/>
    </row>
    <row r="3297" spans="1:8" ht="18" customHeight="1">
      <c r="A3297" s="1019" t="s">
        <v>4447</v>
      </c>
      <c r="B3297" s="1074" t="s">
        <v>1592</v>
      </c>
      <c r="C3297" s="1075"/>
      <c r="D3297" s="1075"/>
      <c r="E3297" s="1075"/>
      <c r="F3297" s="1075"/>
      <c r="G3297" s="1075"/>
      <c r="H3297" s="1075"/>
    </row>
    <row r="3298" spans="1:8" ht="31.5">
      <c r="B3298" s="70" t="s">
        <v>3340</v>
      </c>
      <c r="C3298" s="70" t="s">
        <v>3341</v>
      </c>
      <c r="D3298" s="70" t="s">
        <v>3342</v>
      </c>
      <c r="E3298" s="70" t="s">
        <v>3343</v>
      </c>
      <c r="F3298" s="70" t="s">
        <v>3344</v>
      </c>
      <c r="G3298" s="70" t="s">
        <v>3345</v>
      </c>
      <c r="H3298" s="70" t="s">
        <v>1704</v>
      </c>
    </row>
    <row r="3299" spans="1:8" ht="18" customHeight="1">
      <c r="B3299" s="1067" t="s">
        <v>1705</v>
      </c>
      <c r="C3299" s="60" t="s">
        <v>610</v>
      </c>
      <c r="D3299" s="43">
        <v>1.5</v>
      </c>
      <c r="E3299" s="57" t="s">
        <v>1707</v>
      </c>
      <c r="F3299" s="111">
        <f>'update Rate'!F5</f>
        <v>525</v>
      </c>
      <c r="G3299" s="111">
        <f>FLOOR(D3299*F3299,0.01)</f>
        <v>787.5</v>
      </c>
      <c r="H3299" s="112"/>
    </row>
    <row r="3300" spans="1:8" ht="17.25">
      <c r="B3300" s="1070"/>
      <c r="C3300" s="80" t="s">
        <v>1647</v>
      </c>
      <c r="D3300" s="45">
        <v>1</v>
      </c>
      <c r="E3300" s="58" t="s">
        <v>1707</v>
      </c>
      <c r="F3300" s="65">
        <f>'update Rate'!F4</f>
        <v>375</v>
      </c>
      <c r="G3300" s="65">
        <f>FLOOR(D3300*F3300,0.01)</f>
        <v>375</v>
      </c>
      <c r="H3300" s="127">
        <f>SUM(G3299+G3300)</f>
        <v>1162.5</v>
      </c>
    </row>
    <row r="3301" spans="1:8" ht="18" customHeight="1">
      <c r="B3301" s="1069" t="s">
        <v>2330</v>
      </c>
      <c r="C3301" s="57"/>
      <c r="D3301" s="43"/>
      <c r="E3301" s="57"/>
      <c r="F3301" s="111"/>
      <c r="G3301" s="114"/>
      <c r="H3301" s="112"/>
    </row>
    <row r="3302" spans="1:8" ht="17.25">
      <c r="B3302" s="1070"/>
      <c r="C3302" s="58" t="s">
        <v>2669</v>
      </c>
      <c r="D3302" s="45">
        <v>7</v>
      </c>
      <c r="E3302" s="58" t="s">
        <v>2844</v>
      </c>
      <c r="F3302" s="126">
        <f>'update Rate'!F163</f>
        <v>240</v>
      </c>
      <c r="G3302" s="65">
        <f>FLOOR(D3302*F3302,0.01)</f>
        <v>1680</v>
      </c>
      <c r="H3302" s="127">
        <f>SUM(G3301:G3302)</f>
        <v>1680</v>
      </c>
    </row>
    <row r="3303" spans="1:8" ht="18" customHeight="1">
      <c r="F3303" s="42" t="s">
        <v>1708</v>
      </c>
      <c r="G3303" s="138"/>
      <c r="H3303" s="65">
        <f>SUM(H3302,H3300)</f>
        <v>2842.5</v>
      </c>
    </row>
    <row r="3304" spans="1:8" ht="19.5" customHeight="1">
      <c r="B3304" s="1" t="s">
        <v>1710</v>
      </c>
      <c r="F3304" s="42" t="s">
        <v>1688</v>
      </c>
      <c r="G3304" s="138"/>
      <c r="H3304" s="103">
        <f>FLOOR(H3303*0.15,0.01)</f>
        <v>426.37</v>
      </c>
    </row>
    <row r="3305" spans="1:8" ht="20.100000000000001" customHeight="1">
      <c r="A3305"/>
      <c r="B3305" s="147">
        <f>+H3305</f>
        <v>3268.87</v>
      </c>
      <c r="C3305" s="28" t="s">
        <v>3384</v>
      </c>
      <c r="D3305" s="103">
        <f>INT(B3305/B3306*100)/100</f>
        <v>32.68</v>
      </c>
      <c r="E3305" s="1" t="s">
        <v>3385</v>
      </c>
      <c r="F3305" s="42" t="s">
        <v>1711</v>
      </c>
      <c r="G3305" s="138"/>
      <c r="H3305" s="103">
        <f>SUM(H3303:H3304)</f>
        <v>3268.87</v>
      </c>
    </row>
    <row r="3306" spans="1:8" ht="20.100000000000001" customHeight="1">
      <c r="B3306" s="121">
        <v>100</v>
      </c>
    </row>
    <row r="3307" spans="1:8" ht="20.100000000000001" customHeight="1">
      <c r="B3307" s="121"/>
    </row>
    <row r="3308" spans="1:8" ht="19.5">
      <c r="A3308" s="282">
        <f>+A3296+1</f>
        <v>204</v>
      </c>
      <c r="B3308" s="1076" t="s">
        <v>1690</v>
      </c>
      <c r="C3308" s="1077"/>
      <c r="D3308" s="1077"/>
      <c r="E3308" s="1077"/>
      <c r="F3308" s="1077"/>
      <c r="G3308" s="1077"/>
      <c r="H3308" s="1077"/>
    </row>
    <row r="3309" spans="1:8">
      <c r="A3309" s="1019" t="s">
        <v>4447</v>
      </c>
      <c r="B3309" s="1074" t="s">
        <v>1592</v>
      </c>
      <c r="C3309" s="1075"/>
      <c r="D3309" s="1075"/>
      <c r="E3309" s="1075"/>
      <c r="F3309" s="1075"/>
      <c r="G3309" s="1075"/>
      <c r="H3309" s="1075"/>
    </row>
    <row r="3310" spans="1:8" ht="31.5">
      <c r="B3310" s="70" t="s">
        <v>3340</v>
      </c>
      <c r="C3310" s="70" t="s">
        <v>3341</v>
      </c>
      <c r="D3310" s="70" t="s">
        <v>3342</v>
      </c>
      <c r="E3310" s="70" t="s">
        <v>3343</v>
      </c>
      <c r="F3310" s="70" t="s">
        <v>3344</v>
      </c>
      <c r="G3310" s="70" t="s">
        <v>3345</v>
      </c>
      <c r="H3310" s="70" t="s">
        <v>1704</v>
      </c>
    </row>
    <row r="3311" spans="1:8" ht="19.5" customHeight="1">
      <c r="B3311" s="1067" t="s">
        <v>1705</v>
      </c>
      <c r="C3311" s="60" t="s">
        <v>610</v>
      </c>
      <c r="D3311" s="43">
        <v>2.5</v>
      </c>
      <c r="E3311" s="57" t="s">
        <v>1707</v>
      </c>
      <c r="F3311" s="111">
        <f>'update Rate'!F5</f>
        <v>525</v>
      </c>
      <c r="G3311" s="111">
        <f>FLOOR(D3311*F3311,0.01)</f>
        <v>1312.5</v>
      </c>
      <c r="H3311" s="112"/>
    </row>
    <row r="3312" spans="1:8" ht="23.25" customHeight="1">
      <c r="B3312" s="1070"/>
      <c r="C3312" s="80" t="s">
        <v>1647</v>
      </c>
      <c r="D3312" s="45">
        <v>2</v>
      </c>
      <c r="E3312" s="58" t="s">
        <v>1707</v>
      </c>
      <c r="F3312" s="65">
        <f>'update Rate'!F4</f>
        <v>375</v>
      </c>
      <c r="G3312" s="65">
        <f>FLOOR(D3312*F3312,0.01)</f>
        <v>750</v>
      </c>
      <c r="H3312" s="127">
        <f>SUM(G3311+G3312)</f>
        <v>2062.5</v>
      </c>
    </row>
    <row r="3313" spans="1:8" ht="18" customHeight="1">
      <c r="B3313" s="1069" t="s">
        <v>2330</v>
      </c>
      <c r="C3313" s="57"/>
      <c r="D3313" s="43"/>
      <c r="E3313" s="57"/>
      <c r="F3313" s="111"/>
      <c r="G3313" s="114"/>
      <c r="H3313" s="112"/>
    </row>
    <row r="3314" spans="1:8" ht="17.25">
      <c r="B3314" s="1070"/>
      <c r="C3314" s="58" t="s">
        <v>2669</v>
      </c>
      <c r="D3314" s="45">
        <v>12</v>
      </c>
      <c r="E3314" s="58" t="s">
        <v>2844</v>
      </c>
      <c r="F3314" s="126">
        <f>'update Rate'!F163</f>
        <v>240</v>
      </c>
      <c r="G3314" s="65">
        <f>FLOOR(D3314*F3314,0.01)</f>
        <v>2880</v>
      </c>
      <c r="H3314" s="127">
        <f>SUM(G3313:G3314)</f>
        <v>2880</v>
      </c>
    </row>
    <row r="3315" spans="1:8" ht="16.5">
      <c r="F3315" s="42" t="s">
        <v>1708</v>
      </c>
      <c r="G3315" s="138"/>
      <c r="H3315" s="65">
        <f>SUM(H3314,H3312)</f>
        <v>4942.5</v>
      </c>
    </row>
    <row r="3316" spans="1:8" ht="16.5">
      <c r="B3316" s="1" t="s">
        <v>1710</v>
      </c>
      <c r="F3316" s="42" t="s">
        <v>1688</v>
      </c>
      <c r="G3316" s="138"/>
      <c r="H3316" s="103">
        <f>FLOOR(H3315*0.15,0.01)</f>
        <v>741.37</v>
      </c>
    </row>
    <row r="3317" spans="1:8" ht="18" customHeight="1">
      <c r="A3317"/>
      <c r="B3317" s="147">
        <f>+H3317</f>
        <v>5683.87</v>
      </c>
      <c r="C3317" s="28" t="s">
        <v>3384</v>
      </c>
      <c r="D3317" s="103">
        <f>INT(B3317/B3318*100)/100</f>
        <v>56.83</v>
      </c>
      <c r="E3317" s="1" t="s">
        <v>3385</v>
      </c>
      <c r="F3317" s="42" t="s">
        <v>1711</v>
      </c>
      <c r="G3317" s="138"/>
      <c r="H3317" s="103">
        <f>SUM(H3315:H3316)</f>
        <v>5683.87</v>
      </c>
    </row>
    <row r="3318" spans="1:8" ht="18" customHeight="1">
      <c r="B3318" s="121">
        <v>100</v>
      </c>
    </row>
    <row r="3319" spans="1:8" ht="18" customHeight="1">
      <c r="B3319" s="121"/>
    </row>
    <row r="3320" spans="1:8" ht="18" customHeight="1">
      <c r="A3320" s="33"/>
    </row>
    <row r="3321" spans="1:8" ht="21" customHeight="1">
      <c r="A3321" s="282">
        <f>+A3308+1</f>
        <v>205</v>
      </c>
      <c r="B3321" s="1076" t="s">
        <v>1691</v>
      </c>
      <c r="C3321" s="1077"/>
      <c r="D3321" s="1077"/>
      <c r="E3321" s="1077"/>
      <c r="F3321" s="1077"/>
      <c r="G3321" s="1077"/>
      <c r="H3321" s="1077"/>
    </row>
    <row r="3322" spans="1:8" ht="20.100000000000001" customHeight="1">
      <c r="A3322" s="1019" t="s">
        <v>4448</v>
      </c>
      <c r="B3322" s="1074" t="s">
        <v>1592</v>
      </c>
      <c r="C3322" s="1075"/>
      <c r="D3322" s="1075"/>
      <c r="E3322" s="1075"/>
      <c r="F3322" s="1075"/>
      <c r="G3322" s="1075"/>
      <c r="H3322" s="1075"/>
    </row>
    <row r="3323" spans="1:8" ht="31.5">
      <c r="B3323" s="70" t="s">
        <v>3340</v>
      </c>
      <c r="C3323" s="70" t="s">
        <v>3341</v>
      </c>
      <c r="D3323" s="70" t="s">
        <v>3342</v>
      </c>
      <c r="E3323" s="70" t="s">
        <v>3343</v>
      </c>
      <c r="F3323" s="70" t="s">
        <v>3344</v>
      </c>
      <c r="G3323" s="70" t="s">
        <v>3345</v>
      </c>
      <c r="H3323" s="70" t="s">
        <v>1704</v>
      </c>
    </row>
    <row r="3324" spans="1:8" ht="20.100000000000001" customHeight="1">
      <c r="B3324" s="1067" t="s">
        <v>1705</v>
      </c>
      <c r="C3324" s="60" t="s">
        <v>610</v>
      </c>
      <c r="D3324" s="43">
        <v>10</v>
      </c>
      <c r="E3324" s="57" t="s">
        <v>1707</v>
      </c>
      <c r="F3324" s="111">
        <f>'update Rate'!F5</f>
        <v>525</v>
      </c>
      <c r="G3324" s="111">
        <f>FLOOR(D3324*F3324,0.01)</f>
        <v>5250</v>
      </c>
      <c r="H3324" s="112"/>
    </row>
    <row r="3325" spans="1:8" ht="17.25">
      <c r="B3325" s="1070"/>
      <c r="C3325" s="80" t="s">
        <v>1647</v>
      </c>
      <c r="D3325" s="45">
        <v>5</v>
      </c>
      <c r="E3325" s="58" t="s">
        <v>1707</v>
      </c>
      <c r="F3325" s="65">
        <f>'update Rate'!F4</f>
        <v>375</v>
      </c>
      <c r="G3325" s="65">
        <f>FLOOR(D3325*F3325,0.01)</f>
        <v>1875</v>
      </c>
      <c r="H3325" s="127">
        <f>SUM(G3324+G3325)</f>
        <v>7125</v>
      </c>
    </row>
    <row r="3326" spans="1:8" ht="18" customHeight="1">
      <c r="B3326" s="1069" t="s">
        <v>2330</v>
      </c>
      <c r="C3326" s="57" t="s">
        <v>1692</v>
      </c>
      <c r="D3326" s="43">
        <v>2</v>
      </c>
      <c r="E3326" s="57" t="s">
        <v>3096</v>
      </c>
      <c r="F3326" s="111">
        <f>'update Rate'!F165</f>
        <v>770</v>
      </c>
      <c r="G3326" s="114">
        <f>FLOOR(D3326*F3326,0.01)</f>
        <v>1540</v>
      </c>
      <c r="H3326" s="112"/>
    </row>
    <row r="3327" spans="1:8" ht="18" customHeight="1">
      <c r="B3327" s="1070"/>
      <c r="C3327" s="58" t="s">
        <v>1693</v>
      </c>
      <c r="D3327" s="45">
        <v>10</v>
      </c>
      <c r="E3327" s="58" t="s">
        <v>2844</v>
      </c>
      <c r="F3327" s="126">
        <f>'update Rate'!F167</f>
        <v>99</v>
      </c>
      <c r="G3327" s="65">
        <f>FLOOR(D3327*F3327,0.01)</f>
        <v>990</v>
      </c>
      <c r="H3327" s="127">
        <f>SUM(G3326:G3327)</f>
        <v>2530</v>
      </c>
    </row>
    <row r="3328" spans="1:8" ht="16.5">
      <c r="F3328" s="42" t="s">
        <v>1708</v>
      </c>
      <c r="G3328" s="138"/>
      <c r="H3328" s="65">
        <f>SUM(H3327,H3325)</f>
        <v>9655</v>
      </c>
    </row>
    <row r="3329" spans="1:8" ht="18" customHeight="1">
      <c r="B3329" s="1" t="s">
        <v>1710</v>
      </c>
      <c r="F3329" s="42" t="s">
        <v>1688</v>
      </c>
      <c r="G3329" s="138"/>
      <c r="H3329" s="103">
        <f>FLOOR(H3328*0.15,0.01)</f>
        <v>1448.25</v>
      </c>
    </row>
    <row r="3330" spans="1:8" ht="18" customHeight="1">
      <c r="A3330"/>
      <c r="B3330" s="147">
        <f>+H3330</f>
        <v>11103.25</v>
      </c>
      <c r="C3330" s="28" t="s">
        <v>3384</v>
      </c>
      <c r="D3330" s="103">
        <f>INT(B3330/B3331*100)/100</f>
        <v>111.03</v>
      </c>
      <c r="E3330" s="1" t="s">
        <v>3385</v>
      </c>
      <c r="F3330" s="42" t="s">
        <v>1711</v>
      </c>
      <c r="G3330" s="138"/>
      <c r="H3330" s="103">
        <f>SUM(H3328:H3329)</f>
        <v>11103.25</v>
      </c>
    </row>
    <row r="3331" spans="1:8" ht="18" customHeight="1">
      <c r="B3331" s="121">
        <v>100</v>
      </c>
    </row>
    <row r="3332" spans="1:8" ht="18" customHeight="1">
      <c r="B3332" s="121"/>
    </row>
    <row r="3333" spans="1:8" ht="18" customHeight="1">
      <c r="B3333" s="121"/>
    </row>
    <row r="3334" spans="1:8" ht="18" customHeight="1">
      <c r="B3334" s="121"/>
    </row>
    <row r="3335" spans="1:8" ht="18" customHeight="1">
      <c r="B3335" s="121"/>
    </row>
    <row r="3336" spans="1:8" ht="18" customHeight="1">
      <c r="A3336" s="282">
        <f>+A3321+1</f>
        <v>206</v>
      </c>
      <c r="B3336" s="1077" t="s">
        <v>3325</v>
      </c>
      <c r="C3336" s="1089"/>
      <c r="D3336" s="1089"/>
      <c r="E3336" s="1089"/>
      <c r="F3336" s="1089"/>
      <c r="G3336" s="1089"/>
      <c r="H3336" s="1089"/>
    </row>
    <row r="3337" spans="1:8" ht="18" customHeight="1">
      <c r="A3337" s="1019" t="s">
        <v>4449</v>
      </c>
      <c r="B3337" s="1074" t="s">
        <v>1592</v>
      </c>
      <c r="C3337" s="1092"/>
      <c r="D3337" s="1092"/>
      <c r="E3337" s="1092"/>
      <c r="F3337" s="1092"/>
      <c r="G3337" s="1092"/>
      <c r="H3337" s="1092"/>
    </row>
    <row r="3338" spans="1:8" ht="31.5">
      <c r="B3338" s="70" t="s">
        <v>3340</v>
      </c>
      <c r="C3338" s="70" t="s">
        <v>3341</v>
      </c>
      <c r="D3338" s="70" t="s">
        <v>3342</v>
      </c>
      <c r="E3338" s="70" t="s">
        <v>3343</v>
      </c>
      <c r="F3338" s="70" t="s">
        <v>3344</v>
      </c>
      <c r="G3338" s="70" t="s">
        <v>3345</v>
      </c>
      <c r="H3338" s="70" t="s">
        <v>1704</v>
      </c>
    </row>
    <row r="3339" spans="1:8" ht="16.5">
      <c r="B3339" s="1067" t="s">
        <v>1705</v>
      </c>
      <c r="C3339" s="60" t="s">
        <v>610</v>
      </c>
      <c r="D3339" s="43">
        <v>1.7</v>
      </c>
      <c r="E3339" s="11" t="s">
        <v>1707</v>
      </c>
      <c r="F3339" s="111">
        <f>$F$3324</f>
        <v>525</v>
      </c>
      <c r="G3339" s="111">
        <f>FLOOR(D3339*F3339,0.01)</f>
        <v>892.5</v>
      </c>
      <c r="H3339" s="112"/>
    </row>
    <row r="3340" spans="1:8" ht="18" customHeight="1">
      <c r="B3340" s="1070"/>
      <c r="C3340" s="80" t="s">
        <v>1647</v>
      </c>
      <c r="D3340" s="45">
        <v>1.7</v>
      </c>
      <c r="E3340" s="58" t="s">
        <v>1707</v>
      </c>
      <c r="F3340" s="65">
        <f>$F$3325</f>
        <v>375</v>
      </c>
      <c r="G3340" s="65">
        <f>FLOOR(D3340*F3340,0.01)</f>
        <v>637.5</v>
      </c>
      <c r="H3340" s="127">
        <f>SUM(G3339+G3340)</f>
        <v>1530</v>
      </c>
    </row>
    <row r="3341" spans="1:8" ht="18" customHeight="1">
      <c r="B3341" s="1069" t="s">
        <v>2330</v>
      </c>
      <c r="C3341" s="1069" t="s">
        <v>3326</v>
      </c>
      <c r="D3341" s="844">
        <v>30</v>
      </c>
      <c r="E3341" s="1069" t="s">
        <v>3096</v>
      </c>
      <c r="F3341" s="112">
        <f>'update Rate'!$F$159</f>
        <v>220</v>
      </c>
      <c r="H3341" s="112"/>
    </row>
    <row r="3342" spans="1:8">
      <c r="B3342" s="1073"/>
      <c r="C3342" s="1073"/>
      <c r="D3342" s="203"/>
      <c r="E3342" s="1073"/>
      <c r="F3342" s="203"/>
      <c r="G3342" s="65">
        <f>FLOOR(D3341*F3341,0.01)</f>
        <v>6600</v>
      </c>
      <c r="H3342" s="127">
        <f>SUM(G3342:G3342)</f>
        <v>6600</v>
      </c>
    </row>
    <row r="3343" spans="1:8" ht="18" customHeight="1">
      <c r="F3343" s="42" t="s">
        <v>1708</v>
      </c>
      <c r="G3343" s="106"/>
      <c r="H3343" s="65">
        <f>SUM(H3340:H3342)</f>
        <v>8130</v>
      </c>
    </row>
    <row r="3344" spans="1:8" ht="18" customHeight="1">
      <c r="B3344" s="1" t="s">
        <v>1710</v>
      </c>
      <c r="F3344" s="42" t="s">
        <v>1688</v>
      </c>
      <c r="G3344" s="106"/>
      <c r="H3344" s="65">
        <f>FLOOR(H3343*0.15,0.01)</f>
        <v>1219.5</v>
      </c>
    </row>
    <row r="3345" spans="1:8" ht="18" customHeight="1">
      <c r="A3345" s="28"/>
      <c r="B3345" s="147">
        <f>+H3345</f>
        <v>9349.5</v>
      </c>
      <c r="C3345" s="28" t="s">
        <v>3384</v>
      </c>
      <c r="D3345" s="103">
        <f>INT(B3345/B3346*100)/100</f>
        <v>93.49</v>
      </c>
      <c r="E3345" s="1" t="s">
        <v>3385</v>
      </c>
      <c r="F3345" s="42" t="s">
        <v>1711</v>
      </c>
      <c r="G3345" s="106"/>
      <c r="H3345" s="103">
        <f>SUM(H3343:H3344)</f>
        <v>9349.5</v>
      </c>
    </row>
    <row r="3346" spans="1:8" ht="18" customHeight="1">
      <c r="B3346" s="121">
        <v>100</v>
      </c>
    </row>
    <row r="3347" spans="1:8" ht="18" customHeight="1">
      <c r="B3347" s="121"/>
    </row>
    <row r="3348" spans="1:8" ht="18" customHeight="1">
      <c r="A3348" s="282">
        <f>+A3336+1</f>
        <v>207</v>
      </c>
      <c r="B3348" s="1077" t="s">
        <v>3327</v>
      </c>
      <c r="C3348" s="1089"/>
      <c r="D3348" s="1089"/>
      <c r="E3348" s="1089"/>
      <c r="F3348" s="1089"/>
      <c r="G3348" s="1089"/>
      <c r="H3348" s="1089"/>
    </row>
    <row r="3349" spans="1:8" ht="18" customHeight="1">
      <c r="A3349" s="1019" t="s">
        <v>4449</v>
      </c>
      <c r="B3349" s="1074" t="s">
        <v>1592</v>
      </c>
      <c r="C3349" s="1092"/>
      <c r="D3349" s="1092"/>
      <c r="E3349" s="1092"/>
      <c r="F3349" s="1092"/>
      <c r="G3349" s="1092"/>
      <c r="H3349" s="1092"/>
    </row>
    <row r="3350" spans="1:8" ht="31.5">
      <c r="B3350" s="70" t="s">
        <v>3340</v>
      </c>
      <c r="C3350" s="70" t="s">
        <v>3341</v>
      </c>
      <c r="D3350" s="70" t="s">
        <v>3342</v>
      </c>
      <c r="E3350" s="70" t="s">
        <v>3343</v>
      </c>
      <c r="F3350" s="70" t="s">
        <v>3344</v>
      </c>
      <c r="G3350" s="70" t="s">
        <v>3345</v>
      </c>
      <c r="H3350" s="70" t="s">
        <v>1704</v>
      </c>
    </row>
    <row r="3351" spans="1:8" ht="17.25">
      <c r="B3351" s="1067" t="s">
        <v>1705</v>
      </c>
      <c r="C3351" s="60" t="s">
        <v>610</v>
      </c>
      <c r="D3351" s="43">
        <v>3.5</v>
      </c>
      <c r="E3351" s="57" t="s">
        <v>1707</v>
      </c>
      <c r="F3351" s="111">
        <f>$F$3339</f>
        <v>525</v>
      </c>
      <c r="G3351" s="111">
        <f>FLOOR(D3351*F3351,0.01)</f>
        <v>1837.5</v>
      </c>
      <c r="H3351" s="112"/>
    </row>
    <row r="3352" spans="1:8" ht="17.25">
      <c r="B3352" s="1070"/>
      <c r="C3352" s="80" t="s">
        <v>1647</v>
      </c>
      <c r="D3352" s="45">
        <v>3.5</v>
      </c>
      <c r="E3352" s="58" t="s">
        <v>1707</v>
      </c>
      <c r="F3352" s="65">
        <f>$F$3340</f>
        <v>375</v>
      </c>
      <c r="G3352" s="65">
        <f>FLOOR(D3352*F3352,0.01)</f>
        <v>1312.5</v>
      </c>
      <c r="H3352" s="127">
        <f>SUM(G3351+G3352)</f>
        <v>3150</v>
      </c>
    </row>
    <row r="3353" spans="1:8" ht="22.5" customHeight="1">
      <c r="B3353" s="68" t="s">
        <v>2330</v>
      </c>
      <c r="C3353" s="66" t="s">
        <v>3326</v>
      </c>
      <c r="D3353" s="692">
        <v>48.5</v>
      </c>
      <c r="E3353" s="66" t="s">
        <v>3096</v>
      </c>
      <c r="F3353" s="103">
        <f>$F$3341</f>
        <v>220</v>
      </c>
      <c r="G3353" s="103">
        <f>FLOOR(D3353*F3353,0.01)</f>
        <v>10670</v>
      </c>
      <c r="H3353" s="127">
        <f>SUM(G3353:G3353)</f>
        <v>10670</v>
      </c>
    </row>
    <row r="3354" spans="1:8" ht="20.100000000000001" customHeight="1">
      <c r="F3354" s="42" t="s">
        <v>1708</v>
      </c>
      <c r="G3354" s="106"/>
      <c r="H3354" s="127">
        <f>SUM(H3352:H3353)</f>
        <v>13820</v>
      </c>
    </row>
    <row r="3355" spans="1:8" ht="20.100000000000001" customHeight="1">
      <c r="B3355" s="1" t="s">
        <v>1710</v>
      </c>
      <c r="F3355" s="42" t="s">
        <v>1688</v>
      </c>
      <c r="G3355" s="106"/>
      <c r="H3355" s="65">
        <f>FLOOR(H3354*0.15,0.01)</f>
        <v>2073</v>
      </c>
    </row>
    <row r="3356" spans="1:8" ht="20.100000000000001" customHeight="1">
      <c r="A3356"/>
      <c r="B3356" s="147">
        <f>+H3356</f>
        <v>15893</v>
      </c>
      <c r="C3356" s="28" t="s">
        <v>3384</v>
      </c>
      <c r="D3356" s="103">
        <f>INT(B3356/B3357*100)/100</f>
        <v>158.93</v>
      </c>
      <c r="E3356" s="1" t="s">
        <v>3385</v>
      </c>
      <c r="F3356" s="42" t="s">
        <v>1711</v>
      </c>
      <c r="G3356" s="106"/>
      <c r="H3356" s="65">
        <f>SUM(H3354:H3355)</f>
        <v>15893</v>
      </c>
    </row>
    <row r="3357" spans="1:8" ht="27" customHeight="1">
      <c r="B3357" s="121">
        <v>100</v>
      </c>
    </row>
    <row r="3358" spans="1:8" ht="27" customHeight="1">
      <c r="B3358" s="121"/>
    </row>
    <row r="3359" spans="1:8" ht="27" customHeight="1">
      <c r="B3359" s="121"/>
    </row>
    <row r="3360" spans="1:8" ht="12.75" customHeight="1">
      <c r="B3360" s="121"/>
    </row>
    <row r="3361" spans="1:8" ht="12.75" customHeight="1">
      <c r="B3361" s="121"/>
    </row>
    <row r="3362" spans="1:8" ht="20.100000000000001" customHeight="1">
      <c r="A3362" s="781">
        <f>A3348+1</f>
        <v>208</v>
      </c>
      <c r="B3362" s="1161" t="s">
        <v>3894</v>
      </c>
      <c r="C3362" s="1176"/>
      <c r="D3362" s="1176"/>
      <c r="E3362" s="1176"/>
      <c r="F3362" s="1176"/>
      <c r="G3362" s="1176"/>
      <c r="H3362" s="1176"/>
    </row>
    <row r="3363" spans="1:8" ht="20.100000000000001" customHeight="1">
      <c r="A3363" s="1019" t="s">
        <v>4450</v>
      </c>
      <c r="B3363" s="1167" t="s">
        <v>1592</v>
      </c>
      <c r="C3363" s="1168"/>
      <c r="D3363" s="1168"/>
      <c r="E3363" s="1168"/>
      <c r="F3363" s="1168"/>
      <c r="G3363" s="1168"/>
      <c r="H3363" s="1168"/>
    </row>
    <row r="3364" spans="1:8" ht="31.5">
      <c r="B3364" s="70" t="s">
        <v>3340</v>
      </c>
      <c r="C3364" s="70" t="s">
        <v>3341</v>
      </c>
      <c r="D3364" s="70" t="s">
        <v>3342</v>
      </c>
      <c r="E3364" s="70" t="s">
        <v>3343</v>
      </c>
      <c r="F3364" s="70" t="s">
        <v>3344</v>
      </c>
      <c r="G3364" s="70" t="s">
        <v>3345</v>
      </c>
      <c r="H3364" s="70" t="s">
        <v>1704</v>
      </c>
    </row>
    <row r="3365" spans="1:8" ht="20.100000000000001" customHeight="1">
      <c r="B3365" s="1067" t="s">
        <v>1705</v>
      </c>
      <c r="C3365" s="793" t="s">
        <v>610</v>
      </c>
      <c r="D3365" s="43">
        <v>3.5</v>
      </c>
      <c r="E3365" s="11" t="s">
        <v>1707</v>
      </c>
      <c r="F3365" s="111">
        <f>$F$3324</f>
        <v>525</v>
      </c>
      <c r="G3365" s="111">
        <f>FLOOR(D3365*F3365,0.01)</f>
        <v>1837.5</v>
      </c>
      <c r="H3365" s="796"/>
    </row>
    <row r="3366" spans="1:8" ht="20.100000000000001" customHeight="1">
      <c r="B3366" s="1169"/>
      <c r="C3366" s="794" t="s">
        <v>1647</v>
      </c>
      <c r="D3366" s="45">
        <v>3.5</v>
      </c>
      <c r="E3366" s="58" t="s">
        <v>1707</v>
      </c>
      <c r="F3366" s="65">
        <f>$F$3325</f>
        <v>375</v>
      </c>
      <c r="G3366" s="65">
        <f>FLOOR(D3366*F3366,0.01)</f>
        <v>1312.5</v>
      </c>
      <c r="H3366" s="797">
        <f>SUM(G3365+G3366)</f>
        <v>3150</v>
      </c>
    </row>
    <row r="3367" spans="1:8" ht="20.100000000000001" customHeight="1">
      <c r="B3367" s="691" t="s">
        <v>2330</v>
      </c>
      <c r="C3367" s="68" t="s">
        <v>3895</v>
      </c>
      <c r="D3367" s="945">
        <v>30</v>
      </c>
      <c r="E3367" s="68" t="s">
        <v>3096</v>
      </c>
      <c r="F3367" s="130">
        <f>'update Rate'!F16/1000</f>
        <v>23.75</v>
      </c>
      <c r="G3367" s="65">
        <f>FLOOR(D3367*F3367,0.01)</f>
        <v>712.5</v>
      </c>
      <c r="H3367" s="797">
        <f>SUM(G3367:G3367)</f>
        <v>712.5</v>
      </c>
    </row>
    <row r="3368" spans="1:8" ht="16.5">
      <c r="F3368" s="42" t="s">
        <v>1708</v>
      </c>
      <c r="G3368" s="106"/>
      <c r="H3368" s="65">
        <f>SUM(H3366:H3367)</f>
        <v>3862.5</v>
      </c>
    </row>
    <row r="3369" spans="1:8" ht="20.100000000000001" customHeight="1">
      <c r="B3369" s="1" t="s">
        <v>1710</v>
      </c>
      <c r="F3369" s="42" t="s">
        <v>1688</v>
      </c>
      <c r="G3369" s="106"/>
      <c r="H3369" s="65">
        <f>FLOOR(H3368*0.15,0.01)</f>
        <v>579.37</v>
      </c>
    </row>
    <row r="3370" spans="1:8" ht="16.5">
      <c r="A3370" s="28"/>
      <c r="B3370" s="147">
        <f>+H3370</f>
        <v>4441.87</v>
      </c>
      <c r="C3370" s="28" t="s">
        <v>3384</v>
      </c>
      <c r="D3370" s="103">
        <f>INT(B3370/B3371*100)/100</f>
        <v>44.41</v>
      </c>
      <c r="E3370" s="1" t="s">
        <v>3385</v>
      </c>
      <c r="F3370" s="42" t="s">
        <v>1711</v>
      </c>
      <c r="G3370" s="106"/>
      <c r="H3370" s="103">
        <f>SUM(H3368:H3369)</f>
        <v>4441.87</v>
      </c>
    </row>
    <row r="3371" spans="1:8" ht="20.100000000000001" customHeight="1">
      <c r="B3371" s="121">
        <v>100</v>
      </c>
    </row>
    <row r="3372" spans="1:8" ht="20.100000000000001" customHeight="1">
      <c r="B3372" s="121"/>
    </row>
    <row r="3373" spans="1:8" ht="20.100000000000001" customHeight="1">
      <c r="B3373" s="121"/>
    </row>
    <row r="3374" spans="1:8">
      <c r="B3374" s="121"/>
    </row>
    <row r="3375" spans="1:8">
      <c r="B3375" s="121"/>
    </row>
    <row r="3376" spans="1:8" ht="19.5">
      <c r="A3376" s="282">
        <f>+A3362+1</f>
        <v>209</v>
      </c>
      <c r="B3376" s="1077" t="s">
        <v>3896</v>
      </c>
      <c r="C3376" s="1089"/>
      <c r="D3376" s="1089"/>
      <c r="E3376" s="1089"/>
      <c r="F3376" s="1089"/>
      <c r="G3376" s="1089"/>
      <c r="H3376" s="1089"/>
    </row>
    <row r="3377" spans="1:8" ht="20.100000000000001" customHeight="1">
      <c r="A3377" s="1019" t="s">
        <v>4450</v>
      </c>
      <c r="B3377" s="1074" t="s">
        <v>1592</v>
      </c>
      <c r="C3377" s="1092"/>
      <c r="D3377" s="1092"/>
      <c r="E3377" s="1092"/>
      <c r="F3377" s="1092"/>
      <c r="G3377" s="1092"/>
      <c r="H3377" s="1092"/>
    </row>
    <row r="3378" spans="1:8" ht="31.5">
      <c r="B3378" s="70" t="s">
        <v>3340</v>
      </c>
      <c r="C3378" s="70" t="s">
        <v>3341</v>
      </c>
      <c r="D3378" s="70" t="s">
        <v>3342</v>
      </c>
      <c r="E3378" s="70" t="s">
        <v>3343</v>
      </c>
      <c r="F3378" s="70" t="s">
        <v>3344</v>
      </c>
      <c r="G3378" s="70" t="s">
        <v>3345</v>
      </c>
      <c r="H3378" s="70" t="s">
        <v>1704</v>
      </c>
    </row>
    <row r="3379" spans="1:8" ht="20.100000000000001" customHeight="1">
      <c r="B3379" s="1067" t="s">
        <v>1705</v>
      </c>
      <c r="C3379" s="793" t="s">
        <v>610</v>
      </c>
      <c r="D3379" s="43">
        <v>6.5</v>
      </c>
      <c r="E3379" s="57" t="s">
        <v>1707</v>
      </c>
      <c r="F3379" s="111">
        <f>$F$3339</f>
        <v>525</v>
      </c>
      <c r="G3379" s="111">
        <f>FLOOR(D3379*F3379,0.01)</f>
        <v>3412.5</v>
      </c>
      <c r="H3379" s="796"/>
    </row>
    <row r="3380" spans="1:8" ht="17.25">
      <c r="B3380" s="1070"/>
      <c r="C3380" s="794" t="s">
        <v>1647</v>
      </c>
      <c r="D3380" s="45">
        <v>6.5</v>
      </c>
      <c r="E3380" s="58" t="s">
        <v>1707</v>
      </c>
      <c r="F3380" s="65">
        <f>$F$3340</f>
        <v>375</v>
      </c>
      <c r="G3380" s="65">
        <f>FLOOR(D3380*F3380,0.01)</f>
        <v>2437.5</v>
      </c>
      <c r="H3380" s="797">
        <f>SUM(G3379+G3380)</f>
        <v>5850</v>
      </c>
    </row>
    <row r="3381" spans="1:8" ht="20.100000000000001" customHeight="1">
      <c r="B3381" s="68" t="s">
        <v>2330</v>
      </c>
      <c r="C3381" s="68" t="s">
        <v>3895</v>
      </c>
      <c r="D3381" s="692">
        <v>50</v>
      </c>
      <c r="E3381" s="66" t="s">
        <v>3096</v>
      </c>
      <c r="F3381" s="130">
        <f>'update Rate'!F16/1000</f>
        <v>23.75</v>
      </c>
      <c r="G3381" s="65">
        <f>FLOOR(D3381*F3381,0.01)</f>
        <v>1187.5</v>
      </c>
      <c r="H3381" s="797">
        <f>SUM(G3381:G3381)</f>
        <v>1187.5</v>
      </c>
    </row>
    <row r="3382" spans="1:8" ht="20.100000000000001" customHeight="1">
      <c r="F3382" s="42" t="s">
        <v>1708</v>
      </c>
      <c r="G3382" s="106"/>
      <c r="H3382" s="797">
        <f>SUM(H3380:H3381)</f>
        <v>7037.5</v>
      </c>
    </row>
    <row r="3383" spans="1:8" ht="14.25" customHeight="1">
      <c r="B3383" s="1" t="s">
        <v>1710</v>
      </c>
      <c r="F3383" s="42" t="s">
        <v>1688</v>
      </c>
      <c r="G3383" s="106"/>
      <c r="H3383" s="65">
        <f>FLOOR(H3382*0.15,0.01)</f>
        <v>1055.6200000000001</v>
      </c>
    </row>
    <row r="3384" spans="1:8" ht="16.5">
      <c r="A3384"/>
      <c r="B3384" s="147">
        <f>+H3384</f>
        <v>8093.12</v>
      </c>
      <c r="C3384" s="28" t="s">
        <v>3384</v>
      </c>
      <c r="D3384" s="103">
        <f>INT(B3384/B3385*100)/100</f>
        <v>80.930000000000007</v>
      </c>
      <c r="E3384" s="1" t="s">
        <v>3385</v>
      </c>
      <c r="F3384" s="42" t="s">
        <v>1711</v>
      </c>
      <c r="G3384" s="106"/>
      <c r="H3384" s="65">
        <f>SUM(H3382:H3383)</f>
        <v>8093.12</v>
      </c>
    </row>
    <row r="3385" spans="1:8" ht="20.25" customHeight="1">
      <c r="B3385" s="121">
        <v>100</v>
      </c>
    </row>
    <row r="3386" spans="1:8" ht="20.25" customHeight="1">
      <c r="B3386" s="121"/>
    </row>
    <row r="3387" spans="1:8" ht="20.100000000000001" customHeight="1">
      <c r="A3387" s="145">
        <f>A3376+1</f>
        <v>210</v>
      </c>
      <c r="B3387" s="158"/>
      <c r="F3387" s="142"/>
      <c r="G3387" s="142"/>
      <c r="H3387" s="142"/>
    </row>
    <row r="3388" spans="1:8" ht="19.5">
      <c r="A3388" s="1019" t="s">
        <v>4451</v>
      </c>
      <c r="B3388" s="1077" t="s">
        <v>2688</v>
      </c>
      <c r="C3388" s="1089"/>
      <c r="D3388" s="1089"/>
      <c r="E3388" s="1089"/>
      <c r="F3388" s="1089"/>
      <c r="G3388" s="1089"/>
      <c r="H3388" s="1089"/>
    </row>
    <row r="3389" spans="1:8">
      <c r="A3389" s="40"/>
      <c r="B3389" s="1083" t="s">
        <v>1591</v>
      </c>
      <c r="C3389" s="1083"/>
      <c r="D3389" s="1083"/>
      <c r="E3389" s="1083"/>
      <c r="F3389" s="1083"/>
      <c r="G3389" s="1083"/>
      <c r="H3389" s="1083"/>
    </row>
    <row r="3390" spans="1:8" ht="31.5">
      <c r="B3390" s="70" t="s">
        <v>3340</v>
      </c>
      <c r="C3390" s="70" t="s">
        <v>3341</v>
      </c>
      <c r="D3390" s="70" t="s">
        <v>3342</v>
      </c>
      <c r="E3390" s="70" t="s">
        <v>3343</v>
      </c>
      <c r="F3390" s="70" t="s">
        <v>3344</v>
      </c>
      <c r="G3390" s="70" t="s">
        <v>3345</v>
      </c>
      <c r="H3390" s="70" t="s">
        <v>1704</v>
      </c>
    </row>
    <row r="3391" spans="1:8" ht="17.25">
      <c r="B3391" s="1067" t="s">
        <v>614</v>
      </c>
      <c r="C3391" s="82" t="s">
        <v>790</v>
      </c>
      <c r="D3391" s="44">
        <v>2</v>
      </c>
      <c r="E3391" s="55" t="s">
        <v>1707</v>
      </c>
      <c r="F3391" s="120">
        <f>'update Rate'!F5</f>
        <v>525</v>
      </c>
      <c r="G3391" s="111">
        <f>FLOOR(D3391*F3391,0.01)</f>
        <v>1050</v>
      </c>
      <c r="H3391" s="112"/>
    </row>
    <row r="3392" spans="1:8" ht="17.25">
      <c r="A3392" s="28"/>
      <c r="B3392" s="1068"/>
      <c r="C3392" s="80" t="s">
        <v>615</v>
      </c>
      <c r="D3392" s="45">
        <v>4</v>
      </c>
      <c r="E3392" s="58" t="s">
        <v>1707</v>
      </c>
      <c r="F3392" s="126">
        <f>'update Rate'!F4</f>
        <v>375</v>
      </c>
      <c r="G3392" s="65">
        <f>FLOOR(D3392*F3392,0.01)</f>
        <v>1500</v>
      </c>
      <c r="H3392" s="127">
        <f>SUM(G3391+G3392)</f>
        <v>2550</v>
      </c>
    </row>
    <row r="3393" spans="1:8" ht="17.25">
      <c r="B3393" s="1067" t="s">
        <v>2330</v>
      </c>
      <c r="C3393" s="82" t="s">
        <v>1235</v>
      </c>
      <c r="D3393" s="44">
        <v>10</v>
      </c>
      <c r="E3393" s="55" t="s">
        <v>3096</v>
      </c>
      <c r="F3393" s="113">
        <f>'update Rate'!F140</f>
        <v>30</v>
      </c>
      <c r="G3393" s="113">
        <f>FLOOR(D3393*F3393,0.01)</f>
        <v>300</v>
      </c>
      <c r="H3393" s="136"/>
    </row>
    <row r="3394" spans="1:8" ht="17.25">
      <c r="B3394" s="1096"/>
      <c r="C3394" s="82" t="s">
        <v>3473</v>
      </c>
      <c r="D3394" s="44">
        <v>0.4</v>
      </c>
      <c r="E3394" s="55" t="s">
        <v>3096</v>
      </c>
      <c r="F3394" s="113">
        <f>'update Rate'!F146</f>
        <v>220</v>
      </c>
      <c r="G3394" s="113">
        <f>FLOOR(D3394*F3394,0.01)</f>
        <v>88</v>
      </c>
      <c r="H3394" s="137"/>
    </row>
    <row r="3395" spans="1:8" ht="17.25">
      <c r="B3395" s="1096"/>
      <c r="C3395" s="82" t="s">
        <v>3119</v>
      </c>
      <c r="D3395" s="44"/>
      <c r="E3395" s="55"/>
      <c r="F3395" s="120"/>
      <c r="G3395" s="113"/>
      <c r="H3395" s="9"/>
    </row>
    <row r="3396" spans="1:8" ht="15.75">
      <c r="B3396" s="1068"/>
      <c r="C3396" s="84" t="s">
        <v>677</v>
      </c>
      <c r="D3396" s="65" t="s">
        <v>3171</v>
      </c>
      <c r="E3396" s="58" t="s">
        <v>3173</v>
      </c>
      <c r="F3396" s="58" t="s">
        <v>3173</v>
      </c>
      <c r="G3396" s="65">
        <v>250</v>
      </c>
      <c r="H3396" s="127">
        <f>SUM(G3393+G3394+G3396)</f>
        <v>638</v>
      </c>
    </row>
    <row r="3397" spans="1:8" ht="16.5">
      <c r="A3397" s="25"/>
      <c r="F3397" s="42" t="s">
        <v>1708</v>
      </c>
      <c r="G3397" s="106"/>
      <c r="H3397" s="65">
        <f>SUM(H3392:H3396)</f>
        <v>3188</v>
      </c>
    </row>
    <row r="3398" spans="1:8" ht="16.5">
      <c r="B3398" s="1" t="s">
        <v>1710</v>
      </c>
      <c r="F3398" s="42" t="s">
        <v>1688</v>
      </c>
      <c r="G3398" s="106"/>
      <c r="H3398" s="103">
        <f>FLOOR(H3397*0.15,0.01)</f>
        <v>478.2</v>
      </c>
    </row>
    <row r="3399" spans="1:8" ht="16.5">
      <c r="A3399" s="28"/>
      <c r="B3399" s="147">
        <f>+H3399</f>
        <v>3666.2</v>
      </c>
      <c r="C3399" s="28" t="s">
        <v>3384</v>
      </c>
      <c r="D3399" s="103">
        <f>INT(B3399/B3400*100)/100</f>
        <v>36.659999999999997</v>
      </c>
      <c r="E3399" s="1" t="s">
        <v>3385</v>
      </c>
      <c r="F3399" s="42" t="s">
        <v>1711</v>
      </c>
      <c r="G3399" s="106"/>
      <c r="H3399" s="103">
        <f>SUM(H3397:H3398)</f>
        <v>3666.2</v>
      </c>
    </row>
    <row r="3400" spans="1:8" ht="20.100000000000001" customHeight="1">
      <c r="A3400" s="28"/>
      <c r="B3400" s="149">
        <v>100</v>
      </c>
      <c r="F3400" s="42"/>
      <c r="G3400" s="106"/>
      <c r="H3400" s="151"/>
    </row>
    <row r="3401" spans="1:8" ht="20.100000000000001" customHeight="1">
      <c r="A3401" s="28"/>
      <c r="B3401" s="149"/>
      <c r="F3401" s="42"/>
      <c r="G3401" s="106"/>
      <c r="H3401" s="151"/>
    </row>
    <row r="3402" spans="1:8" ht="20.100000000000001" customHeight="1">
      <c r="C3402" s="28"/>
      <c r="D3402" s="151"/>
    </row>
    <row r="3403" spans="1:8" ht="20.100000000000001" customHeight="1">
      <c r="A3403" s="145">
        <f>+A3387+1</f>
        <v>211</v>
      </c>
      <c r="B3403" s="1076" t="s">
        <v>678</v>
      </c>
      <c r="C3403" s="1077"/>
      <c r="D3403" s="1077"/>
      <c r="E3403" s="1077"/>
      <c r="F3403" s="1077"/>
      <c r="G3403" s="1077"/>
      <c r="H3403" s="1077"/>
    </row>
    <row r="3404" spans="1:8">
      <c r="A3404" s="1019" t="s">
        <v>4452</v>
      </c>
      <c r="B3404" s="1083" t="s">
        <v>1591</v>
      </c>
      <c r="C3404" s="1083"/>
      <c r="D3404" s="1083"/>
      <c r="E3404" s="1083"/>
      <c r="F3404" s="1083"/>
      <c r="G3404" s="1083"/>
      <c r="H3404" s="1083"/>
    </row>
    <row r="3405" spans="1:8" ht="31.5">
      <c r="B3405" s="70" t="s">
        <v>3340</v>
      </c>
      <c r="C3405" s="70" t="s">
        <v>3341</v>
      </c>
      <c r="D3405" s="70" t="s">
        <v>3342</v>
      </c>
      <c r="E3405" s="70" t="s">
        <v>3343</v>
      </c>
      <c r="F3405" s="70" t="s">
        <v>3344</v>
      </c>
      <c r="G3405" s="70" t="s">
        <v>3345</v>
      </c>
      <c r="H3405" s="70" t="s">
        <v>1704</v>
      </c>
    </row>
    <row r="3406" spans="1:8" ht="20.100000000000001" customHeight="1">
      <c r="B3406" s="1067" t="s">
        <v>614</v>
      </c>
      <c r="C3406" s="82" t="s">
        <v>790</v>
      </c>
      <c r="D3406" s="44">
        <v>2</v>
      </c>
      <c r="E3406" s="55" t="s">
        <v>1707</v>
      </c>
      <c r="F3406" s="120">
        <f>'update Rate'!F5</f>
        <v>525</v>
      </c>
      <c r="G3406" s="111">
        <f>FLOOR(D3406*F3406,0.01)</f>
        <v>1050</v>
      </c>
      <c r="H3406" s="112"/>
    </row>
    <row r="3407" spans="1:8" ht="17.25">
      <c r="A3407" s="28"/>
      <c r="B3407" s="1068"/>
      <c r="C3407" s="80" t="s">
        <v>615</v>
      </c>
      <c r="D3407" s="45">
        <v>4</v>
      </c>
      <c r="E3407" s="58" t="s">
        <v>1707</v>
      </c>
      <c r="F3407" s="126">
        <f>'update Rate'!F4</f>
        <v>375</v>
      </c>
      <c r="G3407" s="65">
        <f>FLOOR(D3407*F3407,0.01)</f>
        <v>1500</v>
      </c>
      <c r="H3407" s="127">
        <f>SUM(G3406+G3407)</f>
        <v>2550</v>
      </c>
    </row>
    <row r="3408" spans="1:8" ht="18.75" customHeight="1">
      <c r="B3408" s="1067" t="s">
        <v>2330</v>
      </c>
      <c r="C3408" s="83" t="s">
        <v>3472</v>
      </c>
      <c r="D3408" s="44">
        <v>10</v>
      </c>
      <c r="E3408" s="55" t="s">
        <v>3096</v>
      </c>
      <c r="F3408" s="113">
        <f>'update Rate'!F166</f>
        <v>47</v>
      </c>
      <c r="G3408" s="113">
        <f>FLOOR(D3408*F3408,0.01)</f>
        <v>470</v>
      </c>
      <c r="H3408" s="136"/>
    </row>
    <row r="3409" spans="1:8" ht="17.25">
      <c r="B3409" s="1096"/>
      <c r="C3409" s="82" t="s">
        <v>3473</v>
      </c>
      <c r="D3409" s="44">
        <v>0.4</v>
      </c>
      <c r="E3409" s="55" t="s">
        <v>3096</v>
      </c>
      <c r="F3409" s="113">
        <f>'update Rate'!F146</f>
        <v>220</v>
      </c>
      <c r="G3409" s="113">
        <f>FLOOR(D3409*F3409,0.01)</f>
        <v>88</v>
      </c>
      <c r="H3409" s="137"/>
    </row>
    <row r="3410" spans="1:8" ht="20.100000000000001" customHeight="1">
      <c r="B3410" s="1096"/>
      <c r="C3410" s="82" t="s">
        <v>3119</v>
      </c>
      <c r="D3410" s="44"/>
      <c r="E3410" s="55"/>
      <c r="F3410" s="120"/>
      <c r="G3410" s="113"/>
      <c r="H3410" s="9"/>
    </row>
    <row r="3411" spans="1:8" ht="20.100000000000001" customHeight="1">
      <c r="B3411" s="1068"/>
      <c r="C3411" s="84" t="s">
        <v>677</v>
      </c>
      <c r="D3411" s="79" t="s">
        <v>3171</v>
      </c>
      <c r="E3411" s="58" t="s">
        <v>3173</v>
      </c>
      <c r="F3411" s="126"/>
      <c r="G3411" s="65">
        <v>250</v>
      </c>
      <c r="H3411" s="127">
        <f>SUM(G3408+G3409+G3411)</f>
        <v>808</v>
      </c>
    </row>
    <row r="3412" spans="1:8" ht="20.100000000000001" customHeight="1">
      <c r="A3412" s="25"/>
      <c r="F3412" s="42" t="s">
        <v>1708</v>
      </c>
      <c r="G3412" s="106"/>
      <c r="H3412" s="65">
        <f>SUM(H3407:H3411)</f>
        <v>3358</v>
      </c>
    </row>
    <row r="3413" spans="1:8" ht="20.100000000000001" customHeight="1">
      <c r="B3413" s="1" t="s">
        <v>1710</v>
      </c>
      <c r="F3413" s="42" t="s">
        <v>1688</v>
      </c>
      <c r="G3413" s="106"/>
      <c r="H3413" s="103">
        <f>FLOOR(H3412*0.15,0.01)</f>
        <v>503.7</v>
      </c>
    </row>
    <row r="3414" spans="1:8" ht="16.5">
      <c r="A3414" s="28"/>
      <c r="B3414" s="147">
        <f>+H3414</f>
        <v>3861.7</v>
      </c>
      <c r="C3414" s="28" t="s">
        <v>3384</v>
      </c>
      <c r="D3414" s="103">
        <f>INT(B3414/B3415*100)/100</f>
        <v>38.61</v>
      </c>
      <c r="E3414" s="1" t="s">
        <v>3385</v>
      </c>
      <c r="F3414" s="42" t="s">
        <v>1711</v>
      </c>
      <c r="G3414" s="106"/>
      <c r="H3414" s="103">
        <f>SUM(H3412:H3413)</f>
        <v>3861.7</v>
      </c>
    </row>
    <row r="3415" spans="1:8" ht="20.100000000000001" customHeight="1">
      <c r="B3415" s="149">
        <v>100</v>
      </c>
    </row>
    <row r="3416" spans="1:8" ht="20.100000000000001" customHeight="1">
      <c r="B3416" s="149"/>
    </row>
    <row r="3417" spans="1:8" ht="20.100000000000001" customHeight="1">
      <c r="B3417" s="149"/>
    </row>
    <row r="3418" spans="1:8" ht="20.100000000000001" customHeight="1">
      <c r="B3418" s="149"/>
    </row>
    <row r="3419" spans="1:8" ht="19.5" customHeight="1">
      <c r="A3419" s="282">
        <f>A3403+1</f>
        <v>212</v>
      </c>
      <c r="B3419" s="1076" t="s">
        <v>658</v>
      </c>
      <c r="C3419" s="1077"/>
      <c r="D3419" s="1077"/>
      <c r="E3419" s="1077"/>
      <c r="F3419" s="1077"/>
      <c r="G3419" s="1077"/>
      <c r="H3419" s="1077"/>
    </row>
    <row r="3420" spans="1:8" ht="20.100000000000001" customHeight="1">
      <c r="A3420" s="1019" t="s">
        <v>4453</v>
      </c>
      <c r="B3420" s="1074" t="s">
        <v>427</v>
      </c>
      <c r="C3420" s="1075"/>
      <c r="D3420" s="1075"/>
      <c r="E3420" s="1075"/>
      <c r="F3420" s="1075"/>
      <c r="G3420" s="1075"/>
      <c r="H3420" s="1075"/>
    </row>
    <row r="3421" spans="1:8" ht="31.5">
      <c r="B3421" s="70" t="s">
        <v>3340</v>
      </c>
      <c r="C3421" s="70" t="s">
        <v>3341</v>
      </c>
      <c r="D3421" s="70" t="s">
        <v>3342</v>
      </c>
      <c r="E3421" s="70" t="s">
        <v>3343</v>
      </c>
      <c r="F3421" s="70" t="s">
        <v>3344</v>
      </c>
      <c r="G3421" s="70" t="s">
        <v>3345</v>
      </c>
      <c r="H3421" s="70" t="s">
        <v>1704</v>
      </c>
    </row>
    <row r="3422" spans="1:8" ht="20.100000000000001" customHeight="1">
      <c r="B3422" s="1067" t="s">
        <v>614</v>
      </c>
      <c r="C3422" s="793" t="s">
        <v>790</v>
      </c>
      <c r="D3422" s="48">
        <v>0.53800000000000003</v>
      </c>
      <c r="E3422" s="57" t="s">
        <v>1707</v>
      </c>
      <c r="F3422" s="111">
        <f>'update Rate'!F5</f>
        <v>525</v>
      </c>
      <c r="G3422" s="111">
        <f>FLOOR(D3422*F3422,0.01)</f>
        <v>282.45</v>
      </c>
      <c r="H3422" s="796"/>
    </row>
    <row r="3423" spans="1:8" ht="20.100000000000001" customHeight="1">
      <c r="B3423" s="1105"/>
      <c r="C3423" s="794" t="s">
        <v>615</v>
      </c>
      <c r="D3423" s="51">
        <v>0.53800000000000003</v>
      </c>
      <c r="E3423" s="58" t="s">
        <v>1707</v>
      </c>
      <c r="F3423" s="126">
        <f>'update Rate'!F4</f>
        <v>375</v>
      </c>
      <c r="G3423" s="65">
        <f>FLOOR(D3423*F3423,0.01)</f>
        <v>201.75</v>
      </c>
      <c r="H3423" s="797">
        <f>SUM(G3422+G3423)</f>
        <v>484.2</v>
      </c>
    </row>
    <row r="3424" spans="1:8" ht="20.100000000000001" customHeight="1">
      <c r="B3424" s="1067" t="s">
        <v>2330</v>
      </c>
      <c r="C3424" s="795" t="s">
        <v>2614</v>
      </c>
      <c r="D3424" s="54">
        <v>0.53800000000000003</v>
      </c>
      <c r="E3424" s="55" t="s">
        <v>2844</v>
      </c>
      <c r="F3424" s="113">
        <f>'update Rate'!F161</f>
        <v>165</v>
      </c>
      <c r="G3424" s="114">
        <f>FLOOR(D3424*F3424,0.01)</f>
        <v>88.77</v>
      </c>
      <c r="H3424" s="796"/>
    </row>
    <row r="3425" spans="1:8" ht="17.25">
      <c r="B3425" s="1093"/>
      <c r="C3425" s="795" t="s">
        <v>2937</v>
      </c>
      <c r="D3425" s="54">
        <v>1.6140000000000001</v>
      </c>
      <c r="E3425" s="55" t="s">
        <v>2844</v>
      </c>
      <c r="F3425" s="113">
        <f>'update Rate'!F151</f>
        <v>421</v>
      </c>
      <c r="G3425" s="113">
        <f>FLOOR(D3425*F3425,0.01)</f>
        <v>679.49</v>
      </c>
      <c r="H3425" s="798">
        <f>SUM(G3424+G3425+G3426)</f>
        <v>768.26</v>
      </c>
    </row>
    <row r="3426" spans="1:8" ht="6" customHeight="1">
      <c r="B3426" s="794"/>
      <c r="C3426" s="794"/>
      <c r="D3426" s="49"/>
      <c r="E3426" s="58"/>
      <c r="F3426" s="126"/>
      <c r="G3426" s="65"/>
      <c r="H3426" s="10"/>
    </row>
    <row r="3427" spans="1:8" ht="20.100000000000001" customHeight="1">
      <c r="F3427" s="42" t="s">
        <v>1708</v>
      </c>
      <c r="G3427" s="106"/>
      <c r="H3427" s="65">
        <f>SUM(H3423:H3425)</f>
        <v>1252.46</v>
      </c>
    </row>
    <row r="3428" spans="1:8" ht="20.100000000000001" customHeight="1">
      <c r="B3428" s="1" t="s">
        <v>1710</v>
      </c>
      <c r="F3428" s="42" t="s">
        <v>1688</v>
      </c>
      <c r="G3428" s="106"/>
      <c r="H3428" s="103">
        <f>FLOOR(H3427*0.15,0.01)</f>
        <v>187.86</v>
      </c>
    </row>
    <row r="3429" spans="1:8" ht="20.100000000000001" customHeight="1">
      <c r="A3429" s="100"/>
      <c r="B3429" s="147">
        <f>+H3429</f>
        <v>1440.3200000000002</v>
      </c>
      <c r="C3429" s="28" t="s">
        <v>3384</v>
      </c>
      <c r="D3429" s="103">
        <f>INT(B3429/B3430*100)/100</f>
        <v>144.03</v>
      </c>
      <c r="E3429" s="1" t="s">
        <v>3385</v>
      </c>
      <c r="F3429" s="42" t="s">
        <v>1711</v>
      </c>
      <c r="G3429" s="106"/>
      <c r="H3429" s="103">
        <f>SUM(H3427:H3428)</f>
        <v>1440.3200000000002</v>
      </c>
    </row>
    <row r="3430" spans="1:8" ht="20.100000000000001" customHeight="1">
      <c r="B3430" s="121">
        <v>10</v>
      </c>
    </row>
    <row r="3431" spans="1:8" ht="20.100000000000001" customHeight="1">
      <c r="B3431" s="149"/>
    </row>
    <row r="3432" spans="1:8" ht="19.5">
      <c r="A3432" s="282">
        <f>+A3419+1</f>
        <v>213</v>
      </c>
      <c r="B3432" s="1076" t="s">
        <v>19</v>
      </c>
      <c r="C3432" s="1077"/>
      <c r="D3432" s="1077"/>
      <c r="E3432" s="1077"/>
      <c r="F3432" s="1077"/>
      <c r="G3432" s="1077"/>
      <c r="H3432" s="1077"/>
    </row>
    <row r="3433" spans="1:8" ht="20.100000000000001" customHeight="1">
      <c r="A3433" s="1019" t="s">
        <v>4454</v>
      </c>
      <c r="B3433" s="1100" t="s">
        <v>1591</v>
      </c>
      <c r="C3433" s="1083"/>
      <c r="D3433" s="1083"/>
      <c r="E3433" s="1083"/>
      <c r="F3433" s="1083"/>
      <c r="G3433" s="1083"/>
      <c r="H3433" s="1083"/>
    </row>
    <row r="3434" spans="1:8" ht="31.5">
      <c r="B3434" s="70" t="s">
        <v>3340</v>
      </c>
      <c r="C3434" s="70" t="s">
        <v>3341</v>
      </c>
      <c r="D3434" s="70" t="s">
        <v>3342</v>
      </c>
      <c r="E3434" s="70" t="s">
        <v>3343</v>
      </c>
      <c r="F3434" s="70" t="s">
        <v>3344</v>
      </c>
      <c r="G3434" s="70" t="s">
        <v>3345</v>
      </c>
      <c r="H3434" s="70" t="s">
        <v>1704</v>
      </c>
    </row>
    <row r="3435" spans="1:8" ht="20.100000000000001" customHeight="1">
      <c r="A3435" s="28"/>
      <c r="B3435" s="1067" t="s">
        <v>614</v>
      </c>
      <c r="C3435" s="82" t="s">
        <v>790</v>
      </c>
      <c r="D3435" s="44">
        <v>5</v>
      </c>
      <c r="E3435" s="55" t="s">
        <v>1707</v>
      </c>
      <c r="F3435" s="120">
        <f>'update Rate'!F5</f>
        <v>525</v>
      </c>
      <c r="G3435" s="111">
        <f>FLOOR(D3435*F3435,0.01)</f>
        <v>2625</v>
      </c>
      <c r="H3435" s="112"/>
    </row>
    <row r="3436" spans="1:8" ht="17.25">
      <c r="B3436" s="1068"/>
      <c r="C3436" s="80" t="s">
        <v>615</v>
      </c>
      <c r="D3436" s="45">
        <v>2</v>
      </c>
      <c r="E3436" s="58" t="s">
        <v>1707</v>
      </c>
      <c r="F3436" s="126">
        <f>'update Rate'!F4</f>
        <v>375</v>
      </c>
      <c r="G3436" s="120">
        <f>FLOOR(D3436*F3436,0.01)</f>
        <v>750</v>
      </c>
      <c r="H3436" s="127">
        <f>SUM(G3435+G3436)</f>
        <v>3375</v>
      </c>
    </row>
    <row r="3437" spans="1:8" ht="20.100000000000001" customHeight="1">
      <c r="B3437" s="1067" t="s">
        <v>2330</v>
      </c>
      <c r="C3437" s="60" t="s">
        <v>3120</v>
      </c>
      <c r="D3437" s="43"/>
      <c r="E3437" s="57"/>
      <c r="F3437" s="111"/>
      <c r="G3437" s="136"/>
      <c r="H3437" s="136"/>
    </row>
    <row r="3438" spans="1:8" ht="20.100000000000001" customHeight="1">
      <c r="B3438" s="1068"/>
      <c r="C3438" s="80" t="s">
        <v>1641</v>
      </c>
      <c r="D3438" s="45">
        <v>9</v>
      </c>
      <c r="E3438" s="58" t="s">
        <v>2844</v>
      </c>
      <c r="F3438" s="65">
        <f>'update Rate'!F151</f>
        <v>421</v>
      </c>
      <c r="G3438" s="113">
        <f>FLOOR(D3438*F3438,0.01)</f>
        <v>3789</v>
      </c>
      <c r="H3438" s="65">
        <f>SUM(G3438)</f>
        <v>3789</v>
      </c>
    </row>
    <row r="3439" spans="1:8" ht="20.100000000000001" customHeight="1">
      <c r="F3439" s="42" t="s">
        <v>1708</v>
      </c>
      <c r="G3439" s="129"/>
      <c r="H3439" s="65">
        <f>SUM(H3436:H3438)</f>
        <v>7164</v>
      </c>
    </row>
    <row r="3440" spans="1:8" ht="20.100000000000001" customHeight="1">
      <c r="B3440" s="1" t="s">
        <v>1710</v>
      </c>
      <c r="F3440" s="42" t="s">
        <v>1688</v>
      </c>
      <c r="G3440" s="106"/>
      <c r="H3440" s="103">
        <f>FLOOR(H3439*0.15,0.01)</f>
        <v>1074.5999999999999</v>
      </c>
    </row>
    <row r="3441" spans="1:8" ht="16.5">
      <c r="A3441" s="28"/>
      <c r="B3441" s="147">
        <f>+H3441</f>
        <v>8238.6</v>
      </c>
      <c r="C3441" s="28" t="s">
        <v>3384</v>
      </c>
      <c r="D3441" s="103">
        <f>INT(B3441/B3442*100)/100</f>
        <v>82.38</v>
      </c>
      <c r="E3441" s="1" t="s">
        <v>3385</v>
      </c>
      <c r="F3441" s="42" t="s">
        <v>1711</v>
      </c>
      <c r="G3441" s="106"/>
      <c r="H3441" s="103">
        <f>SUM(H3439:H3440)</f>
        <v>8238.6</v>
      </c>
    </row>
    <row r="3442" spans="1:8" ht="17.25">
      <c r="B3442" s="149">
        <v>100</v>
      </c>
      <c r="G3442" s="42"/>
    </row>
    <row r="3443" spans="1:8" ht="17.25">
      <c r="B3443" s="149"/>
      <c r="G3443" s="42"/>
    </row>
    <row r="3444" spans="1:8" ht="17.25">
      <c r="B3444" s="149"/>
      <c r="G3444" s="42"/>
    </row>
    <row r="3445" spans="1:8" ht="19.5">
      <c r="A3445" s="282">
        <f>+A3432+1</f>
        <v>214</v>
      </c>
      <c r="B3445" s="1076" t="s">
        <v>681</v>
      </c>
      <c r="C3445" s="1077"/>
      <c r="D3445" s="1077"/>
      <c r="E3445" s="1077"/>
      <c r="F3445" s="1077"/>
      <c r="G3445" s="1077"/>
      <c r="H3445" s="1077"/>
    </row>
    <row r="3446" spans="1:8">
      <c r="A3446" s="1019" t="s">
        <v>4455</v>
      </c>
      <c r="B3446" s="1075" t="s">
        <v>1591</v>
      </c>
      <c r="C3446" s="1075"/>
      <c r="D3446" s="1075"/>
      <c r="E3446" s="1075"/>
      <c r="F3446" s="1075"/>
      <c r="G3446" s="1075"/>
      <c r="H3446" s="1075"/>
    </row>
    <row r="3447" spans="1:8" ht="31.5">
      <c r="B3447" s="70" t="s">
        <v>3340</v>
      </c>
      <c r="C3447" s="70" t="s">
        <v>3341</v>
      </c>
      <c r="D3447" s="70" t="s">
        <v>3342</v>
      </c>
      <c r="E3447" s="70" t="s">
        <v>3343</v>
      </c>
      <c r="F3447" s="70" t="s">
        <v>3344</v>
      </c>
      <c r="G3447" s="70" t="s">
        <v>3345</v>
      </c>
      <c r="H3447" s="70" t="s">
        <v>1704</v>
      </c>
    </row>
    <row r="3448" spans="1:8" ht="17.25">
      <c r="A3448" s="28"/>
      <c r="B3448" s="1067" t="s">
        <v>614</v>
      </c>
      <c r="C3448" s="82" t="s">
        <v>790</v>
      </c>
      <c r="D3448" s="52">
        <v>9</v>
      </c>
      <c r="E3448" s="55" t="s">
        <v>1707</v>
      </c>
      <c r="F3448" s="120">
        <f>'update Rate'!F5</f>
        <v>525</v>
      </c>
      <c r="G3448" s="111">
        <f>FLOOR(D3448*F3448,0.01)</f>
        <v>4725</v>
      </c>
      <c r="H3448" s="112"/>
    </row>
    <row r="3449" spans="1:8" ht="17.25">
      <c r="B3449" s="1068"/>
      <c r="C3449" s="80" t="s">
        <v>615</v>
      </c>
      <c r="D3449" s="53">
        <v>5</v>
      </c>
      <c r="E3449" s="58" t="s">
        <v>1707</v>
      </c>
      <c r="F3449" s="126">
        <f>'update Rate'!F4</f>
        <v>375</v>
      </c>
      <c r="G3449" s="113">
        <f>FLOOR(D3449*F3449,0.01)</f>
        <v>1875</v>
      </c>
      <c r="H3449" s="127">
        <f>SUM(G3448+G3449)</f>
        <v>6600</v>
      </c>
    </row>
    <row r="3450" spans="1:8" ht="15.75">
      <c r="B3450" s="1067" t="s">
        <v>2330</v>
      </c>
      <c r="C3450" s="60" t="s">
        <v>3120</v>
      </c>
      <c r="D3450" s="114"/>
      <c r="E3450" s="57"/>
      <c r="F3450" s="111"/>
      <c r="G3450" s="136"/>
      <c r="H3450" s="136"/>
    </row>
    <row r="3451" spans="1:8" ht="17.25">
      <c r="B3451" s="1068"/>
      <c r="C3451" s="80" t="s">
        <v>1641</v>
      </c>
      <c r="D3451" s="45">
        <v>16</v>
      </c>
      <c r="E3451" s="58" t="s">
        <v>2844</v>
      </c>
      <c r="F3451" s="65">
        <f>'update Rate'!F151</f>
        <v>421</v>
      </c>
      <c r="G3451" s="65">
        <f>FLOOR(D3451*F3451,0.01)</f>
        <v>6736</v>
      </c>
      <c r="H3451" s="127">
        <f>G3451</f>
        <v>6736</v>
      </c>
    </row>
    <row r="3452" spans="1:8" ht="15.75">
      <c r="F3452" s="42" t="s">
        <v>1708</v>
      </c>
      <c r="G3452" s="225"/>
      <c r="H3452" s="65">
        <f>SUM(H3449:H3451)</f>
        <v>13336</v>
      </c>
    </row>
    <row r="3453" spans="1:8" ht="16.5">
      <c r="B3453" s="1" t="s">
        <v>1710</v>
      </c>
      <c r="F3453" s="42" t="s">
        <v>1688</v>
      </c>
      <c r="G3453" s="106"/>
      <c r="H3453" s="103">
        <f>FLOOR(H3452*0.15,0.01)</f>
        <v>2000.4</v>
      </c>
    </row>
    <row r="3454" spans="1:8" ht="16.5">
      <c r="A3454" s="28"/>
      <c r="B3454" s="147">
        <f>+H3454</f>
        <v>15336.4</v>
      </c>
      <c r="C3454" s="28" t="s">
        <v>3384</v>
      </c>
      <c r="D3454" s="103">
        <f>INT(B3454/B3455*100)/100</f>
        <v>153.36000000000001</v>
      </c>
      <c r="E3454" s="1" t="s">
        <v>3385</v>
      </c>
      <c r="F3454" s="42" t="s">
        <v>1711</v>
      </c>
      <c r="G3454" s="106"/>
      <c r="H3454" s="103">
        <f>SUM(H3452:H3453)</f>
        <v>15336.4</v>
      </c>
    </row>
    <row r="3455" spans="1:8" ht="16.5">
      <c r="B3455" s="149">
        <v>100</v>
      </c>
    </row>
    <row r="3456" spans="1:8" ht="16.5">
      <c r="B3456" s="149"/>
    </row>
    <row r="3457" spans="1:8" ht="16.5">
      <c r="B3457" s="149"/>
    </row>
    <row r="3460" spans="1:8" ht="19.5">
      <c r="A3460" s="282">
        <f>+A3445+1</f>
        <v>215</v>
      </c>
      <c r="B3460" s="1076" t="s">
        <v>3406</v>
      </c>
      <c r="C3460" s="1077"/>
      <c r="D3460" s="1077"/>
      <c r="E3460" s="1077"/>
      <c r="F3460" s="1077"/>
      <c r="G3460" s="1077"/>
      <c r="H3460" s="1077"/>
    </row>
    <row r="3461" spans="1:8">
      <c r="A3461" s="1019" t="s">
        <v>4456</v>
      </c>
      <c r="B3461" s="1075" t="s">
        <v>1591</v>
      </c>
      <c r="C3461" s="1075"/>
      <c r="D3461" s="1075"/>
      <c r="E3461" s="1075"/>
      <c r="F3461" s="1075"/>
      <c r="G3461" s="1075"/>
      <c r="H3461" s="1075"/>
    </row>
    <row r="3462" spans="1:8" ht="31.5">
      <c r="B3462" s="70" t="s">
        <v>3340</v>
      </c>
      <c r="C3462" s="70" t="s">
        <v>3341</v>
      </c>
      <c r="D3462" s="70" t="s">
        <v>3342</v>
      </c>
      <c r="E3462" s="70" t="s">
        <v>3343</v>
      </c>
      <c r="F3462" s="70" t="s">
        <v>3344</v>
      </c>
      <c r="G3462" s="70" t="s">
        <v>3345</v>
      </c>
      <c r="H3462" s="70" t="s">
        <v>1704</v>
      </c>
    </row>
    <row r="3463" spans="1:8" ht="17.25">
      <c r="A3463" s="28"/>
      <c r="B3463" s="1067" t="s">
        <v>614</v>
      </c>
      <c r="C3463" s="82" t="s">
        <v>790</v>
      </c>
      <c r="D3463" s="44">
        <v>5</v>
      </c>
      <c r="E3463" s="55" t="s">
        <v>1707</v>
      </c>
      <c r="F3463" s="120">
        <f>'update Rate'!F5</f>
        <v>525</v>
      </c>
      <c r="G3463" s="111">
        <f>FLOOR(D3463*F3463,0.01)</f>
        <v>2625</v>
      </c>
      <c r="H3463" s="112"/>
    </row>
    <row r="3464" spans="1:8" ht="17.25">
      <c r="B3464" s="1068"/>
      <c r="C3464" s="80" t="s">
        <v>615</v>
      </c>
      <c r="D3464" s="45">
        <v>2</v>
      </c>
      <c r="E3464" s="58" t="s">
        <v>1707</v>
      </c>
      <c r="F3464" s="126">
        <f>'update Rate'!F4</f>
        <v>375</v>
      </c>
      <c r="G3464" s="126">
        <f>FLOOR(D3464*F3464,0.01)</f>
        <v>750</v>
      </c>
      <c r="H3464" s="127">
        <f>SUM(G3463+G3464)</f>
        <v>3375</v>
      </c>
    </row>
    <row r="3465" spans="1:8">
      <c r="B3465" s="1067" t="s">
        <v>2330</v>
      </c>
      <c r="C3465" s="1067" t="s">
        <v>679</v>
      </c>
      <c r="D3465" s="189"/>
      <c r="E3465" s="1067" t="s">
        <v>2844</v>
      </c>
      <c r="F3465" s="111"/>
      <c r="G3465" s="204"/>
      <c r="H3465" s="8"/>
    </row>
    <row r="3466" spans="1:8">
      <c r="B3466" s="1068"/>
      <c r="C3466" s="1068"/>
      <c r="D3466" s="271">
        <v>9</v>
      </c>
      <c r="E3466" s="1068"/>
      <c r="F3466" s="127">
        <f>'update Rate'!F154</f>
        <v>422</v>
      </c>
      <c r="G3466" s="126">
        <f>FLOOR(D3466*F3466,0.01)</f>
        <v>3798</v>
      </c>
      <c r="H3466" s="127">
        <f>SUM(G3466+G3467+G3468)</f>
        <v>3798</v>
      </c>
    </row>
    <row r="3467" spans="1:8" ht="16.5">
      <c r="F3467" s="42" t="s">
        <v>1708</v>
      </c>
      <c r="G3467" s="106"/>
      <c r="H3467" s="65">
        <f>SUM(H3463:H3466)</f>
        <v>7173</v>
      </c>
    </row>
    <row r="3468" spans="1:8" ht="16.5">
      <c r="B3468" s="1" t="s">
        <v>1710</v>
      </c>
      <c r="F3468" s="42" t="s">
        <v>1688</v>
      </c>
      <c r="G3468" s="106"/>
      <c r="H3468" s="103">
        <f>FLOOR(H3467*0.15,0.01)</f>
        <v>1075.95</v>
      </c>
    </row>
    <row r="3469" spans="1:8" ht="16.5">
      <c r="A3469" s="28"/>
      <c r="B3469" s="147">
        <f>+H3469</f>
        <v>8248.9500000000007</v>
      </c>
      <c r="C3469" s="28" t="s">
        <v>3384</v>
      </c>
      <c r="D3469" s="103">
        <f>INT(B3469/B3470*100)/100</f>
        <v>82.48</v>
      </c>
      <c r="E3469" s="1" t="s">
        <v>3385</v>
      </c>
      <c r="F3469" s="42" t="s">
        <v>1711</v>
      </c>
      <c r="G3469" s="106"/>
      <c r="H3469" s="103">
        <f>SUM(H3467:H3468)</f>
        <v>8248.9500000000007</v>
      </c>
    </row>
    <row r="3470" spans="1:8" ht="16.5">
      <c r="B3470" s="149">
        <v>100</v>
      </c>
    </row>
    <row r="3471" spans="1:8" ht="16.5">
      <c r="B3471" s="149"/>
    </row>
    <row r="3473" spans="1:8" ht="19.5">
      <c r="A3473" s="282">
        <f>+A3460+1</f>
        <v>216</v>
      </c>
      <c r="B3473" s="1076" t="s">
        <v>680</v>
      </c>
      <c r="C3473" s="1077"/>
      <c r="D3473" s="1077"/>
      <c r="E3473" s="1077"/>
      <c r="F3473" s="1077"/>
      <c r="G3473" s="1077"/>
      <c r="H3473" s="1077"/>
    </row>
    <row r="3474" spans="1:8">
      <c r="A3474" s="1019" t="s">
        <v>4455</v>
      </c>
      <c r="B3474" s="1075" t="s">
        <v>1591</v>
      </c>
      <c r="C3474" s="1075"/>
      <c r="D3474" s="1075"/>
      <c r="E3474" s="1075"/>
      <c r="F3474" s="1075"/>
      <c r="G3474" s="1075"/>
      <c r="H3474" s="1075"/>
    </row>
    <row r="3475" spans="1:8" ht="31.5">
      <c r="B3475" s="70" t="s">
        <v>3340</v>
      </c>
      <c r="C3475" s="70" t="s">
        <v>3341</v>
      </c>
      <c r="D3475" s="70" t="s">
        <v>3342</v>
      </c>
      <c r="E3475" s="70" t="s">
        <v>3343</v>
      </c>
      <c r="F3475" s="70" t="s">
        <v>3344</v>
      </c>
      <c r="G3475" s="70" t="s">
        <v>3345</v>
      </c>
      <c r="H3475" s="70" t="s">
        <v>1704</v>
      </c>
    </row>
    <row r="3476" spans="1:8" ht="17.25">
      <c r="A3476" s="28"/>
      <c r="B3476" s="1067" t="s">
        <v>614</v>
      </c>
      <c r="C3476" s="82" t="s">
        <v>790</v>
      </c>
      <c r="D3476" s="44">
        <v>9</v>
      </c>
      <c r="E3476" s="55" t="s">
        <v>1707</v>
      </c>
      <c r="F3476" s="120">
        <f>'update Rate'!F5</f>
        <v>525</v>
      </c>
      <c r="G3476" s="111">
        <f>FLOOR(D3476*F3476,0.01)</f>
        <v>4725</v>
      </c>
      <c r="H3476" s="112"/>
    </row>
    <row r="3477" spans="1:8" ht="17.25">
      <c r="B3477" s="1068"/>
      <c r="C3477" s="80" t="s">
        <v>615</v>
      </c>
      <c r="D3477" s="45">
        <v>5</v>
      </c>
      <c r="E3477" s="58" t="s">
        <v>1707</v>
      </c>
      <c r="F3477" s="126">
        <f>'update Rate'!F4</f>
        <v>375</v>
      </c>
      <c r="G3477" s="65">
        <f>FLOOR(D3477*F3477,0.01)</f>
        <v>1875</v>
      </c>
      <c r="H3477" s="127">
        <f>SUM(G3476+G3477)</f>
        <v>6600</v>
      </c>
    </row>
    <row r="3478" spans="1:8" ht="17.25">
      <c r="B3478" s="1067" t="s">
        <v>2330</v>
      </c>
      <c r="C3478" s="82" t="s">
        <v>3120</v>
      </c>
      <c r="D3478" s="44"/>
      <c r="E3478" s="55"/>
      <c r="F3478" s="120"/>
      <c r="G3478" s="120"/>
      <c r="H3478" s="112"/>
    </row>
    <row r="3479" spans="1:8" ht="17.25">
      <c r="B3479" s="1096"/>
      <c r="C3479" s="82" t="s">
        <v>2736</v>
      </c>
      <c r="D3479" s="44">
        <v>16</v>
      </c>
      <c r="E3479" s="55" t="s">
        <v>2844</v>
      </c>
      <c r="F3479" s="113">
        <f>'update Rate'!F154</f>
        <v>422</v>
      </c>
      <c r="G3479" s="113">
        <f>FLOOR(D3479*F3479,0.01)</f>
        <v>6752</v>
      </c>
      <c r="H3479" s="9"/>
    </row>
    <row r="3480" spans="1:8" ht="17.25">
      <c r="B3480" s="1068"/>
      <c r="C3480" s="80"/>
      <c r="D3480" s="45"/>
      <c r="E3480" s="58"/>
      <c r="F3480" s="126"/>
      <c r="G3480" s="135"/>
      <c r="H3480" s="127">
        <f>SUM(G3479+G3480+G3481)</f>
        <v>6752</v>
      </c>
    </row>
    <row r="3481" spans="1:8" ht="16.5">
      <c r="A3481" s="25"/>
      <c r="F3481" s="42" t="s">
        <v>1708</v>
      </c>
      <c r="G3481" s="106"/>
      <c r="H3481" s="65">
        <f>SUM(H3477:H3480)</f>
        <v>13352</v>
      </c>
    </row>
    <row r="3482" spans="1:8" ht="16.5">
      <c r="B3482" s="1" t="s">
        <v>1710</v>
      </c>
      <c r="F3482" s="42" t="s">
        <v>1688</v>
      </c>
      <c r="G3482" s="106"/>
      <c r="H3482" s="103">
        <f>FLOOR(H3481*0.15,0.01)</f>
        <v>2002.8</v>
      </c>
    </row>
    <row r="3483" spans="1:8" ht="16.5">
      <c r="A3483" s="28"/>
      <c r="B3483" s="147">
        <f>+H3483</f>
        <v>15354.8</v>
      </c>
      <c r="C3483" s="28" t="s">
        <v>3384</v>
      </c>
      <c r="D3483" s="103">
        <f>INT(B3483/B3484*100)/100</f>
        <v>153.54</v>
      </c>
      <c r="E3483" s="1" t="s">
        <v>3385</v>
      </c>
      <c r="F3483" s="42" t="s">
        <v>1711</v>
      </c>
      <c r="G3483" s="106"/>
      <c r="H3483" s="103">
        <f>SUM(H3481:H3482)</f>
        <v>15354.8</v>
      </c>
    </row>
    <row r="3484" spans="1:8" ht="16.5">
      <c r="B3484" s="149">
        <v>100</v>
      </c>
    </row>
    <row r="3485" spans="1:8" ht="16.5">
      <c r="B3485" s="149"/>
    </row>
    <row r="3486" spans="1:8" ht="16.5">
      <c r="B3486" s="149"/>
    </row>
    <row r="3487" spans="1:8">
      <c r="A3487" s="282">
        <f>+A3473+1</f>
        <v>217</v>
      </c>
    </row>
    <row r="3488" spans="1:8" ht="19.5">
      <c r="A3488" s="1019" t="s">
        <v>4457</v>
      </c>
      <c r="B3488" s="1076" t="s">
        <v>20</v>
      </c>
      <c r="C3488" s="1077"/>
      <c r="D3488" s="1077"/>
      <c r="E3488" s="1077"/>
      <c r="F3488" s="1077"/>
      <c r="G3488" s="1077"/>
      <c r="H3488" s="1077"/>
    </row>
    <row r="3489" spans="1:8">
      <c r="B3489" s="1075" t="s">
        <v>1591</v>
      </c>
      <c r="C3489" s="1075"/>
      <c r="D3489" s="1075"/>
      <c r="E3489" s="1075"/>
      <c r="F3489" s="1075"/>
      <c r="G3489" s="1075"/>
      <c r="H3489" s="1075"/>
    </row>
    <row r="3490" spans="1:8" ht="31.5">
      <c r="B3490" s="70" t="s">
        <v>3340</v>
      </c>
      <c r="C3490" s="70" t="s">
        <v>3341</v>
      </c>
      <c r="D3490" s="70" t="s">
        <v>3342</v>
      </c>
      <c r="E3490" s="70" t="s">
        <v>3343</v>
      </c>
      <c r="F3490" s="70" t="s">
        <v>3344</v>
      </c>
      <c r="G3490" s="70" t="s">
        <v>3345</v>
      </c>
      <c r="H3490" s="70" t="s">
        <v>1704</v>
      </c>
    </row>
    <row r="3491" spans="1:8" ht="17.25">
      <c r="A3491" s="28"/>
      <c r="B3491" s="1067" t="s">
        <v>614</v>
      </c>
      <c r="C3491" s="82" t="s">
        <v>790</v>
      </c>
      <c r="D3491" s="44">
        <v>3.75</v>
      </c>
      <c r="E3491" s="55" t="s">
        <v>1707</v>
      </c>
      <c r="F3491" s="120">
        <f>mason</f>
        <v>525</v>
      </c>
      <c r="G3491" s="111">
        <f>FLOOR(D3491*F3491,0.01)</f>
        <v>1968.75</v>
      </c>
      <c r="H3491" s="112"/>
    </row>
    <row r="3492" spans="1:8" ht="17.25">
      <c r="B3492" s="1068"/>
      <c r="C3492" s="80" t="s">
        <v>615</v>
      </c>
      <c r="D3492" s="45">
        <v>3.75</v>
      </c>
      <c r="E3492" s="58" t="s">
        <v>1707</v>
      </c>
      <c r="F3492" s="126">
        <f>'update Rate'!F4</f>
        <v>375</v>
      </c>
      <c r="G3492" s="65">
        <f>FLOOR(D3492*F3492,0.01)</f>
        <v>1406.25</v>
      </c>
      <c r="H3492" s="127">
        <f>SUM(G3491+G3492)</f>
        <v>3375</v>
      </c>
    </row>
    <row r="3493" spans="1:8" ht="17.25">
      <c r="B3493" s="1067" t="s">
        <v>2330</v>
      </c>
      <c r="C3493" s="82" t="s">
        <v>3120</v>
      </c>
      <c r="D3493" s="44"/>
      <c r="E3493" s="55"/>
      <c r="F3493" s="120"/>
      <c r="G3493" s="120"/>
      <c r="H3493" s="125"/>
    </row>
    <row r="3494" spans="1:8" ht="17.25">
      <c r="B3494" s="1096"/>
      <c r="C3494" s="82" t="s">
        <v>3008</v>
      </c>
      <c r="D3494" s="44">
        <v>5.38</v>
      </c>
      <c r="E3494" s="55" t="s">
        <v>2844</v>
      </c>
      <c r="F3494" s="113">
        <f>'update Rate'!F156</f>
        <v>415</v>
      </c>
      <c r="G3494" s="113">
        <f>FLOOR(D3494*F3494,0.01)</f>
        <v>2232.7000000000003</v>
      </c>
      <c r="H3494" s="125"/>
    </row>
    <row r="3495" spans="1:8" ht="17.25">
      <c r="B3495" s="1068"/>
      <c r="C3495" s="80" t="s">
        <v>3002</v>
      </c>
      <c r="D3495" s="45">
        <v>3</v>
      </c>
      <c r="E3495" s="58" t="s">
        <v>1687</v>
      </c>
      <c r="F3495" s="65">
        <f>'update Rate'!F160</f>
        <v>4</v>
      </c>
      <c r="G3495" s="65">
        <f>FLOOR(D3495*F3495,0.01)</f>
        <v>12</v>
      </c>
      <c r="H3495" s="127">
        <f>SUM(G3494+G3495)</f>
        <v>2244.7000000000003</v>
      </c>
    </row>
    <row r="3496" spans="1:8" ht="16.5">
      <c r="F3496" s="42" t="s">
        <v>1708</v>
      </c>
      <c r="G3496" s="106"/>
      <c r="H3496" s="65">
        <f>SUM(H3492:H3495)</f>
        <v>5619.7000000000007</v>
      </c>
    </row>
    <row r="3497" spans="1:8" ht="16.5">
      <c r="B3497" s="1" t="s">
        <v>1710</v>
      </c>
      <c r="F3497" s="42" t="s">
        <v>1688</v>
      </c>
      <c r="G3497" s="106"/>
      <c r="H3497" s="103">
        <f>FLOOR(H3496*0.15,0.01)</f>
        <v>842.95</v>
      </c>
    </row>
    <row r="3498" spans="1:8" ht="16.5">
      <c r="A3498" s="28"/>
      <c r="B3498" s="147">
        <f>+H3498</f>
        <v>6462.6500000000005</v>
      </c>
      <c r="C3498" s="28" t="s">
        <v>3384</v>
      </c>
      <c r="D3498" s="103">
        <f>INT(B3498/B3499*100)/100</f>
        <v>64.62</v>
      </c>
      <c r="E3498" s="1" t="s">
        <v>3385</v>
      </c>
      <c r="F3498" s="42" t="s">
        <v>1711</v>
      </c>
      <c r="G3498" s="106"/>
      <c r="H3498" s="103">
        <f>SUM(H3496:H3497)</f>
        <v>6462.6500000000005</v>
      </c>
    </row>
    <row r="3499" spans="1:8" ht="17.25">
      <c r="B3499" s="149">
        <v>100</v>
      </c>
      <c r="F3499" s="42"/>
      <c r="G3499" s="42"/>
    </row>
    <row r="3500" spans="1:8" ht="17.25">
      <c r="B3500" s="149"/>
      <c r="F3500" s="42"/>
      <c r="G3500" s="42"/>
    </row>
    <row r="3501" spans="1:8" ht="17.25">
      <c r="B3501" s="149"/>
      <c r="F3501" s="42"/>
      <c r="G3501" s="42"/>
    </row>
    <row r="3502" spans="1:8" ht="17.25">
      <c r="B3502" s="149"/>
      <c r="F3502" s="42"/>
      <c r="G3502" s="42"/>
    </row>
    <row r="3503" spans="1:8" ht="17.25">
      <c r="B3503" s="149"/>
      <c r="F3503" s="42"/>
      <c r="G3503" s="42"/>
    </row>
    <row r="3504" spans="1:8" ht="19.5">
      <c r="A3504" s="282">
        <f>+A3487+1</f>
        <v>218</v>
      </c>
      <c r="B3504" s="1076" t="s">
        <v>2128</v>
      </c>
      <c r="C3504" s="1077"/>
      <c r="D3504" s="1077"/>
      <c r="E3504" s="1077"/>
      <c r="F3504" s="1077"/>
      <c r="G3504" s="1077"/>
      <c r="H3504" s="1077"/>
    </row>
    <row r="3505" spans="1:8">
      <c r="A3505" s="1019" t="s">
        <v>4458</v>
      </c>
      <c r="B3505" s="1074" t="s">
        <v>1591</v>
      </c>
      <c r="C3505" s="1075"/>
      <c r="D3505" s="1075"/>
      <c r="E3505" s="1075"/>
      <c r="F3505" s="1075"/>
      <c r="G3505" s="1075"/>
      <c r="H3505" s="1075"/>
    </row>
    <row r="3506" spans="1:8" ht="31.5">
      <c r="B3506" s="70" t="s">
        <v>3340</v>
      </c>
      <c r="C3506" s="70" t="s">
        <v>3341</v>
      </c>
      <c r="D3506" s="70" t="s">
        <v>3342</v>
      </c>
      <c r="E3506" s="70" t="s">
        <v>3343</v>
      </c>
      <c r="F3506" s="70" t="s">
        <v>3344</v>
      </c>
      <c r="G3506" s="70" t="s">
        <v>3345</v>
      </c>
      <c r="H3506" s="70" t="s">
        <v>1704</v>
      </c>
    </row>
    <row r="3507" spans="1:8" ht="17.25">
      <c r="A3507" s="28"/>
      <c r="B3507" s="1067" t="s">
        <v>614</v>
      </c>
      <c r="C3507" s="82" t="s">
        <v>790</v>
      </c>
      <c r="D3507" s="44">
        <v>7.75</v>
      </c>
      <c r="E3507" s="55" t="s">
        <v>1707</v>
      </c>
      <c r="F3507" s="120">
        <f>'update Rate'!F5</f>
        <v>525</v>
      </c>
      <c r="G3507" s="111">
        <f>FLOOR(D3507*F3507,0.01)</f>
        <v>4068.75</v>
      </c>
      <c r="H3507" s="112"/>
    </row>
    <row r="3508" spans="1:8" ht="17.25">
      <c r="B3508" s="1068"/>
      <c r="C3508" s="80" t="s">
        <v>615</v>
      </c>
      <c r="D3508" s="45">
        <v>7.75</v>
      </c>
      <c r="E3508" s="58" t="s">
        <v>1707</v>
      </c>
      <c r="F3508" s="126">
        <f>'update Rate'!F4</f>
        <v>375</v>
      </c>
      <c r="G3508" s="65">
        <f>FLOOR(D3508*F3508,0.01)</f>
        <v>2906.25</v>
      </c>
      <c r="H3508" s="127">
        <f>SUM(G3507+G3508)</f>
        <v>6975</v>
      </c>
    </row>
    <row r="3509" spans="1:8" ht="17.25">
      <c r="B3509" s="1067" t="s">
        <v>2330</v>
      </c>
      <c r="C3509" s="82" t="s">
        <v>3120</v>
      </c>
      <c r="D3509" s="44"/>
      <c r="E3509" s="55"/>
      <c r="F3509" s="111"/>
      <c r="G3509" s="120"/>
      <c r="H3509" s="125"/>
    </row>
    <row r="3510" spans="1:8" ht="17.25">
      <c r="B3510" s="1096"/>
      <c r="C3510" s="82" t="s">
        <v>3008</v>
      </c>
      <c r="D3510" s="44">
        <v>10.76</v>
      </c>
      <c r="E3510" s="55" t="s">
        <v>2844</v>
      </c>
      <c r="F3510" s="113">
        <f>'update Rate'!F156</f>
        <v>415</v>
      </c>
      <c r="G3510" s="113">
        <f>FLOOR(D3510*F3510,0.01)</f>
        <v>4465.4000000000005</v>
      </c>
      <c r="H3510" s="125"/>
    </row>
    <row r="3511" spans="1:8" ht="17.25">
      <c r="B3511" s="1068"/>
      <c r="C3511" s="80" t="s">
        <v>3002</v>
      </c>
      <c r="D3511" s="45">
        <v>4</v>
      </c>
      <c r="E3511" s="58" t="s">
        <v>1687</v>
      </c>
      <c r="F3511" s="65">
        <f>'update Rate'!F160</f>
        <v>4</v>
      </c>
      <c r="G3511" s="65">
        <f>FLOOR(D3511*F3511,0.01)</f>
        <v>16</v>
      </c>
      <c r="H3511" s="127">
        <f>SUM(G3510+G3511)</f>
        <v>4481.4000000000005</v>
      </c>
    </row>
    <row r="3512" spans="1:8" ht="16.5">
      <c r="F3512" s="42" t="s">
        <v>1708</v>
      </c>
      <c r="G3512" s="106"/>
      <c r="H3512" s="65">
        <f>SUM(H3508:H3511)</f>
        <v>11456.400000000001</v>
      </c>
    </row>
    <row r="3513" spans="1:8" ht="16.5">
      <c r="B3513" s="1" t="s">
        <v>1710</v>
      </c>
      <c r="F3513" s="42" t="s">
        <v>1688</v>
      </c>
      <c r="G3513" s="106"/>
      <c r="H3513" s="103">
        <f>FLOOR(H3512*0.15,0.01)</f>
        <v>1718.46</v>
      </c>
    </row>
    <row r="3514" spans="1:8" ht="16.5">
      <c r="A3514" s="28"/>
      <c r="B3514" s="147">
        <f>+H3514</f>
        <v>13174.86</v>
      </c>
      <c r="C3514" s="28" t="s">
        <v>3384</v>
      </c>
      <c r="D3514" s="103">
        <f>INT(B3514/B3515*100)/100</f>
        <v>131.74</v>
      </c>
      <c r="E3514" s="1" t="s">
        <v>3385</v>
      </c>
      <c r="F3514" s="42" t="s">
        <v>1711</v>
      </c>
      <c r="G3514" s="106"/>
      <c r="H3514" s="103">
        <f>SUM(H3512:H3513)</f>
        <v>13174.86</v>
      </c>
    </row>
    <row r="3515" spans="1:8" ht="16.5">
      <c r="B3515" s="149">
        <v>100</v>
      </c>
    </row>
    <row r="3516" spans="1:8" ht="16.5">
      <c r="B3516" s="149"/>
    </row>
    <row r="3517" spans="1:8" ht="16.5">
      <c r="B3517" s="149"/>
    </row>
    <row r="3518" spans="1:8" ht="19.5">
      <c r="A3518" s="282">
        <f>+A3504+1</f>
        <v>219</v>
      </c>
      <c r="B3518" s="1076" t="s">
        <v>1751</v>
      </c>
      <c r="C3518" s="1077"/>
      <c r="D3518" s="1077"/>
      <c r="E3518" s="1077"/>
      <c r="F3518" s="1077"/>
      <c r="G3518" s="1077"/>
      <c r="H3518" s="1077"/>
    </row>
    <row r="3519" spans="1:8">
      <c r="A3519" s="1019" t="s">
        <v>4459</v>
      </c>
      <c r="B3519" s="1075" t="s">
        <v>1591</v>
      </c>
      <c r="C3519" s="1075"/>
      <c r="D3519" s="1075"/>
      <c r="E3519" s="1075"/>
      <c r="F3519" s="1075"/>
      <c r="G3519" s="1075"/>
      <c r="H3519" s="1075"/>
    </row>
    <row r="3520" spans="1:8" ht="31.5">
      <c r="B3520" s="70" t="s">
        <v>3340</v>
      </c>
      <c r="C3520" s="70" t="s">
        <v>3341</v>
      </c>
      <c r="D3520" s="70" t="s">
        <v>3342</v>
      </c>
      <c r="E3520" s="70" t="s">
        <v>3343</v>
      </c>
      <c r="F3520" s="70" t="s">
        <v>3344</v>
      </c>
      <c r="G3520" s="70" t="s">
        <v>3345</v>
      </c>
      <c r="H3520" s="70" t="s">
        <v>1704</v>
      </c>
    </row>
    <row r="3521" spans="1:8" ht="17.25">
      <c r="A3521" s="28"/>
      <c r="B3521" s="1067" t="s">
        <v>614</v>
      </c>
      <c r="C3521" s="82" t="s">
        <v>790</v>
      </c>
      <c r="D3521" s="44">
        <v>4.3</v>
      </c>
      <c r="E3521" s="55" t="s">
        <v>1707</v>
      </c>
      <c r="F3521" s="120">
        <f>'update Rate'!F5</f>
        <v>525</v>
      </c>
      <c r="G3521" s="111">
        <f>SUM(4.3*F3521)</f>
        <v>2257.5</v>
      </c>
      <c r="H3521" s="112"/>
    </row>
    <row r="3522" spans="1:8" ht="17.25">
      <c r="B3522" s="1068"/>
      <c r="C3522" s="80" t="s">
        <v>615</v>
      </c>
      <c r="D3522" s="45">
        <v>4</v>
      </c>
      <c r="E3522" s="58" t="s">
        <v>1707</v>
      </c>
      <c r="F3522" s="126">
        <f>'update Rate'!F4</f>
        <v>375</v>
      </c>
      <c r="G3522" s="126">
        <f>SUM(4.33*F3522)</f>
        <v>1623.75</v>
      </c>
      <c r="H3522" s="127">
        <f>SUM(G3521+G3522)</f>
        <v>3881.25</v>
      </c>
    </row>
    <row r="3523" spans="1:8" ht="15.75">
      <c r="B3523" s="1067" t="s">
        <v>2330</v>
      </c>
      <c r="C3523" s="207" t="s">
        <v>2129</v>
      </c>
      <c r="D3523" s="114"/>
      <c r="E3523" s="57"/>
      <c r="F3523" s="111"/>
      <c r="G3523" s="111"/>
      <c r="H3523" s="125"/>
    </row>
    <row r="3524" spans="1:8" ht="17.25">
      <c r="B3524" s="1068"/>
      <c r="C3524" s="80" t="s">
        <v>2130</v>
      </c>
      <c r="D3524" s="45">
        <v>7.5</v>
      </c>
      <c r="E3524" s="58" t="s">
        <v>2844</v>
      </c>
      <c r="F3524" s="65">
        <f>'update Rate'!F158</f>
        <v>220</v>
      </c>
      <c r="G3524" s="65">
        <f>SUM(7.5*F3524)</f>
        <v>1650</v>
      </c>
      <c r="H3524" s="127">
        <f>SUM(G3524)</f>
        <v>1650</v>
      </c>
    </row>
    <row r="3525" spans="1:8" ht="16.5">
      <c r="F3525" s="1" t="s">
        <v>1708</v>
      </c>
      <c r="G3525" s="106"/>
      <c r="H3525" s="65">
        <f>SUM(H3522:H3524)</f>
        <v>5531.25</v>
      </c>
    </row>
    <row r="3526" spans="1:8" ht="16.5">
      <c r="B3526" s="1" t="s">
        <v>1710</v>
      </c>
      <c r="F3526" s="1" t="s">
        <v>1688</v>
      </c>
      <c r="G3526" s="106"/>
      <c r="H3526" s="103">
        <f>FLOOR(H3525*0.15,0.01)</f>
        <v>829.68000000000006</v>
      </c>
    </row>
    <row r="3527" spans="1:8" ht="16.5">
      <c r="A3527" s="28"/>
      <c r="B3527" s="147">
        <f>+H3527</f>
        <v>6360.93</v>
      </c>
      <c r="C3527" s="28" t="s">
        <v>3384</v>
      </c>
      <c r="D3527" s="103">
        <f>INT(B3527/B3528*100)/100</f>
        <v>63.6</v>
      </c>
      <c r="E3527" s="1" t="s">
        <v>3385</v>
      </c>
      <c r="F3527" s="1" t="s">
        <v>1711</v>
      </c>
      <c r="G3527" s="106"/>
      <c r="H3527" s="103">
        <f>SUM(H3525:H3526)</f>
        <v>6360.93</v>
      </c>
    </row>
    <row r="3528" spans="1:8" ht="16.5">
      <c r="B3528" s="149">
        <v>100</v>
      </c>
    </row>
    <row r="3529" spans="1:8" ht="16.5">
      <c r="B3529" s="149"/>
    </row>
    <row r="3531" spans="1:8" ht="19.5">
      <c r="A3531" s="282">
        <f>+A3518+1</f>
        <v>220</v>
      </c>
      <c r="B3531" s="1076" t="s">
        <v>1197</v>
      </c>
      <c r="C3531" s="1077"/>
      <c r="D3531" s="1077"/>
      <c r="E3531" s="1077"/>
      <c r="F3531" s="1077"/>
      <c r="G3531" s="1077"/>
      <c r="H3531" s="1077"/>
    </row>
    <row r="3532" spans="1:8">
      <c r="A3532" s="1019" t="s">
        <v>4460</v>
      </c>
      <c r="B3532" s="1074" t="s">
        <v>1591</v>
      </c>
      <c r="C3532" s="1075"/>
      <c r="D3532" s="1075"/>
      <c r="E3532" s="1075"/>
      <c r="F3532" s="1075"/>
      <c r="G3532" s="1075"/>
      <c r="H3532" s="1075"/>
    </row>
    <row r="3533" spans="1:8">
      <c r="A3533" s="92"/>
      <c r="B3533" s="3"/>
      <c r="F3533" s="3"/>
      <c r="G3533" s="3"/>
      <c r="H3533" s="3"/>
    </row>
    <row r="3534" spans="1:8" ht="31.5">
      <c r="B3534" s="70" t="s">
        <v>3340</v>
      </c>
      <c r="C3534" s="70" t="s">
        <v>3341</v>
      </c>
      <c r="D3534" s="70" t="s">
        <v>3342</v>
      </c>
      <c r="E3534" s="70" t="s">
        <v>3343</v>
      </c>
      <c r="F3534" s="70" t="s">
        <v>3344</v>
      </c>
      <c r="G3534" s="70" t="s">
        <v>3345</v>
      </c>
      <c r="H3534" s="70" t="s">
        <v>1704</v>
      </c>
    </row>
    <row r="3535" spans="1:8" ht="17.25">
      <c r="A3535" s="28"/>
      <c r="B3535" s="1067" t="s">
        <v>614</v>
      </c>
      <c r="C3535" s="82" t="s">
        <v>790</v>
      </c>
      <c r="D3535" s="44">
        <v>8.67</v>
      </c>
      <c r="E3535" s="55" t="s">
        <v>1707</v>
      </c>
      <c r="F3535" s="120">
        <f>mason</f>
        <v>525</v>
      </c>
      <c r="G3535" s="111">
        <f>SUM(8.67*F3535)</f>
        <v>4551.75</v>
      </c>
      <c r="H3535" s="112"/>
    </row>
    <row r="3536" spans="1:8" ht="17.25">
      <c r="B3536" s="1068"/>
      <c r="C3536" s="80" t="s">
        <v>615</v>
      </c>
      <c r="D3536" s="45">
        <v>8</v>
      </c>
      <c r="E3536" s="58" t="s">
        <v>1707</v>
      </c>
      <c r="F3536" s="126">
        <f>'update Rate'!F4</f>
        <v>375</v>
      </c>
      <c r="G3536" s="65">
        <f>SUM(8*F3536)</f>
        <v>3000</v>
      </c>
      <c r="H3536" s="127">
        <f>SUM(G3535+G3536)</f>
        <v>7551.75</v>
      </c>
    </row>
    <row r="3537" spans="1:8" ht="17.25">
      <c r="B3537" s="1067" t="s">
        <v>2330</v>
      </c>
      <c r="C3537" s="207" t="s">
        <v>2129</v>
      </c>
      <c r="D3537" s="43"/>
      <c r="E3537" s="57"/>
      <c r="F3537" s="111"/>
      <c r="G3537" s="120"/>
      <c r="H3537" s="125"/>
    </row>
    <row r="3538" spans="1:8" ht="17.25">
      <c r="B3538" s="1068"/>
      <c r="C3538" s="80" t="s">
        <v>2130</v>
      </c>
      <c r="D3538" s="45">
        <v>15</v>
      </c>
      <c r="E3538" s="58" t="s">
        <v>2844</v>
      </c>
      <c r="F3538" s="65">
        <f>'update Rate'!F158</f>
        <v>220</v>
      </c>
      <c r="G3538" s="65">
        <f>FLOOR(D3538*F3538,0.01)</f>
        <v>3300</v>
      </c>
      <c r="H3538" s="127">
        <f>SUM(G3538)</f>
        <v>3300</v>
      </c>
    </row>
    <row r="3539" spans="1:8" ht="16.5">
      <c r="F3539" s="42" t="s">
        <v>1708</v>
      </c>
      <c r="G3539" s="106"/>
      <c r="H3539" s="65">
        <f>SUM(H3536:H3538)</f>
        <v>10851.75</v>
      </c>
    </row>
    <row r="3540" spans="1:8" ht="16.5">
      <c r="B3540" s="1" t="s">
        <v>1710</v>
      </c>
      <c r="F3540" s="42" t="s">
        <v>1688</v>
      </c>
      <c r="G3540" s="106"/>
      <c r="H3540" s="103">
        <f>FLOOR(H3539*0.15,0.01)</f>
        <v>1627.76</v>
      </c>
    </row>
    <row r="3541" spans="1:8" ht="16.5">
      <c r="A3541" s="28"/>
      <c r="B3541" s="147">
        <f>+H3541</f>
        <v>12479.51</v>
      </c>
      <c r="C3541" s="28" t="s">
        <v>3384</v>
      </c>
      <c r="D3541" s="103">
        <f>INT(B3541/B3542*100)/100</f>
        <v>124.79</v>
      </c>
      <c r="E3541" s="1" t="s">
        <v>3385</v>
      </c>
      <c r="F3541" s="42" t="s">
        <v>1711</v>
      </c>
      <c r="G3541" s="106"/>
      <c r="H3541" s="103">
        <f>SUM(H3539:H3540)</f>
        <v>12479.51</v>
      </c>
    </row>
    <row r="3542" spans="1:8" ht="17.25">
      <c r="A3542" s="28"/>
      <c r="B3542" s="149">
        <v>100</v>
      </c>
      <c r="F3542" s="42"/>
      <c r="G3542" s="106"/>
      <c r="H3542" s="151"/>
    </row>
    <row r="3543" spans="1:8" ht="17.25">
      <c r="A3543" s="28"/>
      <c r="B3543" s="149"/>
      <c r="F3543" s="42"/>
      <c r="G3543" s="106"/>
      <c r="H3543" s="151"/>
    </row>
    <row r="3544" spans="1:8" ht="17.25">
      <c r="A3544" s="28"/>
      <c r="B3544" s="149"/>
      <c r="F3544" s="42"/>
      <c r="G3544" s="106"/>
      <c r="H3544" s="151"/>
    </row>
    <row r="3545" spans="1:8" ht="17.25">
      <c r="A3545" s="28"/>
      <c r="B3545" s="149"/>
      <c r="F3545" s="42"/>
      <c r="G3545" s="106"/>
      <c r="H3545" s="151"/>
    </row>
    <row r="3546" spans="1:8">
      <c r="A3546" s="33"/>
    </row>
    <row r="3547" spans="1:8" ht="19.5">
      <c r="A3547" s="282">
        <f>A3531+1</f>
        <v>221</v>
      </c>
      <c r="B3547" s="1076" t="s">
        <v>3005</v>
      </c>
      <c r="C3547" s="1077"/>
      <c r="D3547" s="1077"/>
      <c r="E3547" s="1077"/>
      <c r="F3547" s="1077"/>
      <c r="G3547" s="1077"/>
      <c r="H3547" s="1077"/>
    </row>
    <row r="3548" spans="1:8">
      <c r="A3548" s="1019" t="s">
        <v>4461</v>
      </c>
      <c r="B3548" s="1074" t="s">
        <v>1592</v>
      </c>
      <c r="C3548" s="1075"/>
      <c r="D3548" s="1075"/>
      <c r="E3548" s="1075"/>
      <c r="F3548" s="1075"/>
      <c r="G3548" s="1075"/>
      <c r="H3548" s="1075"/>
    </row>
    <row r="3549" spans="1:8" ht="7.5" customHeight="1">
      <c r="B3549" s="3"/>
      <c r="F3549" s="3"/>
      <c r="G3549" s="3"/>
      <c r="H3549" s="3"/>
    </row>
    <row r="3550" spans="1:8" ht="31.5">
      <c r="B3550" s="70" t="s">
        <v>3340</v>
      </c>
      <c r="C3550" s="70" t="s">
        <v>3341</v>
      </c>
      <c r="D3550" s="70" t="s">
        <v>3342</v>
      </c>
      <c r="E3550" s="70" t="s">
        <v>3343</v>
      </c>
      <c r="F3550" s="70" t="s">
        <v>3344</v>
      </c>
      <c r="G3550" s="70" t="s">
        <v>3345</v>
      </c>
      <c r="H3550" s="70" t="s">
        <v>1704</v>
      </c>
    </row>
    <row r="3551" spans="1:8" ht="17.25">
      <c r="B3551" s="1067" t="s">
        <v>1705</v>
      </c>
      <c r="C3551" s="60" t="s">
        <v>610</v>
      </c>
      <c r="D3551" s="43">
        <v>5.8</v>
      </c>
      <c r="E3551" s="57" t="s">
        <v>1707</v>
      </c>
      <c r="F3551" s="111">
        <f>mason</f>
        <v>525</v>
      </c>
      <c r="G3551" s="111">
        <f>FLOOR(D3551*F3551,0.01)</f>
        <v>3045</v>
      </c>
      <c r="H3551" s="112"/>
    </row>
    <row r="3552" spans="1:8" ht="17.25">
      <c r="B3552" s="1070"/>
      <c r="C3552" s="80" t="s">
        <v>1647</v>
      </c>
      <c r="D3552" s="45">
        <v>5.8</v>
      </c>
      <c r="E3552" s="58" t="s">
        <v>1707</v>
      </c>
      <c r="F3552" s="65">
        <f>'update Rate'!F4</f>
        <v>375</v>
      </c>
      <c r="G3552" s="65">
        <f>FLOOR(D3552*F3552,0.01)</f>
        <v>2175</v>
      </c>
      <c r="H3552" s="127">
        <f>SUM(G3551+G3552)</f>
        <v>5220</v>
      </c>
    </row>
    <row r="3553" spans="1:8" ht="17.25">
      <c r="B3553" s="1069" t="s">
        <v>2330</v>
      </c>
      <c r="C3553" s="57" t="s">
        <v>1633</v>
      </c>
      <c r="D3553" s="50">
        <v>8</v>
      </c>
      <c r="E3553" s="57" t="s">
        <v>2844</v>
      </c>
      <c r="F3553" s="113">
        <f>'update Rate'!F147</f>
        <v>225</v>
      </c>
      <c r="G3553" s="114">
        <f>FLOOR(D3553*F3553,0.01)</f>
        <v>1800</v>
      </c>
      <c r="H3553" s="112"/>
    </row>
    <row r="3554" spans="1:8" ht="17.25">
      <c r="B3554" s="1070"/>
      <c r="C3554" s="58" t="s">
        <v>3004</v>
      </c>
      <c r="D3554" s="45">
        <v>16</v>
      </c>
      <c r="E3554" s="58" t="s">
        <v>2844</v>
      </c>
      <c r="F3554" s="65">
        <f>'update Rate'!F149</f>
        <v>139</v>
      </c>
      <c r="G3554" s="65">
        <f>FLOOR(D3554*F3554,0.01)</f>
        <v>2224</v>
      </c>
      <c r="H3554" s="127">
        <f>SUM(G3553:G3554)</f>
        <v>4024</v>
      </c>
    </row>
    <row r="3555" spans="1:8" ht="16.5">
      <c r="F3555" s="42" t="s">
        <v>1708</v>
      </c>
      <c r="G3555" s="138"/>
      <c r="H3555" s="65">
        <f>SUM(H3554,H3552)</f>
        <v>9244</v>
      </c>
    </row>
    <row r="3556" spans="1:8" ht="16.5">
      <c r="B3556" s="1" t="s">
        <v>1710</v>
      </c>
      <c r="F3556" s="42" t="s">
        <v>1689</v>
      </c>
      <c r="G3556" s="138"/>
      <c r="H3556" s="103">
        <f>FLOOR(H3555*0.15,0.01)</f>
        <v>1386.6000000000001</v>
      </c>
    </row>
    <row r="3557" spans="1:8" ht="16.5">
      <c r="A3557"/>
      <c r="B3557" s="147">
        <f>+H3557</f>
        <v>10630.6</v>
      </c>
      <c r="C3557" s="28" t="s">
        <v>3384</v>
      </c>
      <c r="D3557" s="103">
        <f>INT(B3557/B3558*100)/100</f>
        <v>106.3</v>
      </c>
      <c r="E3557" s="1" t="s">
        <v>3385</v>
      </c>
      <c r="F3557" s="42" t="s">
        <v>1711</v>
      </c>
      <c r="G3557" s="138"/>
      <c r="H3557" s="103">
        <f>SUM(H3555:H3556)</f>
        <v>10630.6</v>
      </c>
    </row>
    <row r="3558" spans="1:8">
      <c r="B3558" s="121">
        <v>100</v>
      </c>
    </row>
    <row r="3559" spans="1:8">
      <c r="B3559" s="121"/>
    </row>
    <row r="3560" spans="1:8">
      <c r="A3560"/>
      <c r="B3560" s="110"/>
      <c r="C3560"/>
      <c r="D3560"/>
      <c r="E3560"/>
      <c r="F3560"/>
      <c r="G3560"/>
      <c r="H3560"/>
    </row>
    <row r="3561" spans="1:8" ht="15.75">
      <c r="A3561" s="282">
        <f>A3547+1</f>
        <v>222</v>
      </c>
      <c r="B3561" s="1097" t="s">
        <v>2722</v>
      </c>
      <c r="C3561" s="1098"/>
      <c r="D3561" s="1098"/>
      <c r="E3561" s="1098"/>
      <c r="F3561" s="1098"/>
      <c r="G3561" s="1098"/>
      <c r="H3561" s="1098"/>
    </row>
    <row r="3562" spans="1:8" ht="16.5" customHeight="1">
      <c r="A3562" s="1019" t="s">
        <v>4462</v>
      </c>
      <c r="B3562" s="1074" t="s">
        <v>1594</v>
      </c>
      <c r="C3562" s="1092"/>
      <c r="D3562" s="1092"/>
      <c r="E3562" s="1092"/>
      <c r="F3562" s="1092"/>
      <c r="G3562" s="1092"/>
      <c r="H3562" s="1092"/>
    </row>
    <row r="3563" spans="1:8" ht="31.5">
      <c r="B3563" s="70" t="s">
        <v>3340</v>
      </c>
      <c r="C3563" s="70" t="s">
        <v>3341</v>
      </c>
      <c r="D3563" s="70" t="s">
        <v>3342</v>
      </c>
      <c r="E3563" s="70" t="s">
        <v>3343</v>
      </c>
      <c r="F3563" s="70" t="s">
        <v>3344</v>
      </c>
      <c r="G3563" s="70" t="s">
        <v>3345</v>
      </c>
      <c r="H3563" s="70" t="s">
        <v>1704</v>
      </c>
    </row>
    <row r="3564" spans="1:8">
      <c r="B3564" s="1069" t="s">
        <v>2330</v>
      </c>
      <c r="C3564" s="1069" t="s">
        <v>4164</v>
      </c>
      <c r="D3564" s="218"/>
      <c r="E3564" s="1069" t="s">
        <v>3170</v>
      </c>
      <c r="F3564" s="113"/>
      <c r="G3564" s="18"/>
      <c r="H3564" s="27"/>
    </row>
    <row r="3565" spans="1:8">
      <c r="B3565" s="1073"/>
      <c r="C3565" s="1073"/>
      <c r="D3565" s="845">
        <v>10</v>
      </c>
      <c r="E3565" s="1073"/>
      <c r="F3565" s="65">
        <f>'update Rate'!F234</f>
        <v>914.6</v>
      </c>
      <c r="G3565" s="65">
        <f>FLOOR(D3565*F3565,0.01)</f>
        <v>9146</v>
      </c>
      <c r="H3565" s="127">
        <f>SUM(G3564:G3565)</f>
        <v>9146</v>
      </c>
    </row>
    <row r="3566" spans="1:8" ht="16.5">
      <c r="F3566" s="42" t="s">
        <v>1708</v>
      </c>
      <c r="G3566" s="106"/>
      <c r="H3566" s="65">
        <f>SUM(H3565)</f>
        <v>9146</v>
      </c>
    </row>
    <row r="3567" spans="1:8" ht="16.5">
      <c r="B3567" s="1" t="s">
        <v>1710</v>
      </c>
      <c r="F3567" s="42" t="s">
        <v>1689</v>
      </c>
      <c r="G3567" s="106"/>
      <c r="H3567" s="103">
        <f>FLOOR(H3566*0.15,0.01)</f>
        <v>1371.9</v>
      </c>
    </row>
    <row r="3568" spans="1:8" ht="16.5">
      <c r="A3568"/>
      <c r="B3568" s="147">
        <f>+H3568</f>
        <v>10517.9</v>
      </c>
      <c r="C3568" s="28" t="s">
        <v>3384</v>
      </c>
      <c r="D3568" s="103">
        <f>INT(B3568/B3569*100)/100</f>
        <v>1051.79</v>
      </c>
      <c r="E3568" s="1" t="s">
        <v>3385</v>
      </c>
      <c r="F3568" s="42" t="s">
        <v>1711</v>
      </c>
      <c r="G3568" s="106"/>
      <c r="H3568" s="103">
        <f>SUM(H3566:H3567)</f>
        <v>10517.9</v>
      </c>
    </row>
    <row r="3569" spans="1:8">
      <c r="B3569" s="121">
        <v>10</v>
      </c>
    </row>
    <row r="3570" spans="1:8">
      <c r="B3570" s="121"/>
    </row>
    <row r="3573" spans="1:8" ht="15.75">
      <c r="A3573" s="282">
        <f>A3561+1</f>
        <v>223</v>
      </c>
      <c r="B3573" s="1097" t="s">
        <v>2723</v>
      </c>
      <c r="C3573" s="1098"/>
      <c r="D3573" s="1098"/>
      <c r="E3573" s="1098"/>
      <c r="F3573" s="1098"/>
      <c r="G3573" s="1098"/>
      <c r="H3573" s="1098"/>
    </row>
    <row r="3574" spans="1:8" ht="16.5" customHeight="1">
      <c r="A3574" s="1019" t="s">
        <v>4462</v>
      </c>
      <c r="B3574" s="1074" t="s">
        <v>1594</v>
      </c>
      <c r="C3574" s="1092"/>
      <c r="D3574" s="1092"/>
      <c r="E3574" s="1092"/>
      <c r="F3574" s="1092"/>
      <c r="G3574" s="1092"/>
      <c r="H3574" s="1092"/>
    </row>
    <row r="3575" spans="1:8" ht="31.5">
      <c r="B3575" s="70" t="s">
        <v>3340</v>
      </c>
      <c r="C3575" s="70" t="s">
        <v>3341</v>
      </c>
      <c r="D3575" s="70" t="s">
        <v>3342</v>
      </c>
      <c r="E3575" s="70" t="s">
        <v>3343</v>
      </c>
      <c r="F3575" s="70" t="s">
        <v>3344</v>
      </c>
      <c r="G3575" s="70" t="s">
        <v>3345</v>
      </c>
      <c r="H3575" s="70" t="s">
        <v>1704</v>
      </c>
    </row>
    <row r="3576" spans="1:8">
      <c r="B3576" s="1069" t="s">
        <v>2330</v>
      </c>
      <c r="C3576" s="1069" t="s">
        <v>1950</v>
      </c>
      <c r="D3576" s="218"/>
      <c r="E3576" s="1069" t="s">
        <v>3170</v>
      </c>
      <c r="F3576" s="113"/>
      <c r="G3576" s="18"/>
      <c r="H3576" s="27"/>
    </row>
    <row r="3577" spans="1:8">
      <c r="B3577" s="1073"/>
      <c r="C3577" s="1073"/>
      <c r="D3577" s="845">
        <v>10</v>
      </c>
      <c r="E3577" s="1073"/>
      <c r="F3577" s="65">
        <f>'update Rate'!F235</f>
        <v>1129.8</v>
      </c>
      <c r="G3577" s="65">
        <f>FLOOR(D3577*F3577,0.01)</f>
        <v>11298</v>
      </c>
      <c r="H3577" s="127">
        <f>SUM(G3576:G3577)</f>
        <v>11298</v>
      </c>
    </row>
    <row r="3578" spans="1:8" ht="16.5">
      <c r="F3578" s="42" t="s">
        <v>1708</v>
      </c>
      <c r="G3578" s="106"/>
      <c r="H3578" s="65">
        <f>SUM(H3577)</f>
        <v>11298</v>
      </c>
    </row>
    <row r="3579" spans="1:8" ht="16.5">
      <c r="B3579" s="1" t="s">
        <v>1710</v>
      </c>
      <c r="F3579" s="42" t="s">
        <v>1689</v>
      </c>
      <c r="G3579" s="106"/>
      <c r="H3579" s="103">
        <f>FLOOR(H3578*0.15,0.01)</f>
        <v>1694.7</v>
      </c>
    </row>
    <row r="3580" spans="1:8" ht="16.5">
      <c r="A3580"/>
      <c r="B3580" s="147">
        <f>+H3580</f>
        <v>12992.7</v>
      </c>
      <c r="C3580" s="28" t="s">
        <v>3384</v>
      </c>
      <c r="D3580" s="103">
        <f>INT(B3580/B3581*100)/100</f>
        <v>1299.27</v>
      </c>
      <c r="E3580" s="1" t="s">
        <v>3385</v>
      </c>
      <c r="F3580" s="42" t="s">
        <v>1711</v>
      </c>
      <c r="G3580" s="106"/>
      <c r="H3580" s="103">
        <f>SUM(H3578:H3579)</f>
        <v>12992.7</v>
      </c>
    </row>
    <row r="3581" spans="1:8">
      <c r="B3581" s="121">
        <v>10</v>
      </c>
    </row>
    <row r="3583" spans="1:8" ht="15.75">
      <c r="A3583" s="282">
        <f>A3573+1</f>
        <v>224</v>
      </c>
      <c r="B3583" s="1097" t="s">
        <v>3520</v>
      </c>
      <c r="C3583" s="1098"/>
      <c r="D3583" s="1098"/>
      <c r="E3583" s="1098"/>
      <c r="F3583" s="1098"/>
      <c r="G3583" s="1098"/>
      <c r="H3583" s="1098"/>
    </row>
    <row r="3584" spans="1:8" ht="16.5" customHeight="1">
      <c r="A3584" s="1019" t="s">
        <v>4462</v>
      </c>
      <c r="B3584" s="1074" t="s">
        <v>1594</v>
      </c>
      <c r="C3584" s="1092"/>
      <c r="D3584" s="1092"/>
      <c r="E3584" s="1092"/>
      <c r="F3584" s="1092"/>
      <c r="G3584" s="1092"/>
      <c r="H3584" s="1092"/>
    </row>
    <row r="3585" spans="1:8" ht="31.5">
      <c r="B3585" s="70" t="s">
        <v>3340</v>
      </c>
      <c r="C3585" s="70" t="s">
        <v>3341</v>
      </c>
      <c r="D3585" s="70" t="s">
        <v>3342</v>
      </c>
      <c r="E3585" s="70" t="s">
        <v>3343</v>
      </c>
      <c r="F3585" s="70" t="s">
        <v>3344</v>
      </c>
      <c r="G3585" s="70" t="s">
        <v>3345</v>
      </c>
      <c r="H3585" s="70" t="s">
        <v>1704</v>
      </c>
    </row>
    <row r="3586" spans="1:8">
      <c r="B3586" s="1069" t="s">
        <v>2330</v>
      </c>
      <c r="C3586" s="1069" t="s">
        <v>1950</v>
      </c>
      <c r="D3586" s="218"/>
      <c r="E3586" s="1069" t="s">
        <v>3170</v>
      </c>
      <c r="F3586" s="113"/>
      <c r="G3586" s="18"/>
      <c r="H3586" s="27"/>
    </row>
    <row r="3587" spans="1:8">
      <c r="B3587" s="1073"/>
      <c r="C3587" s="1073"/>
      <c r="D3587" s="845">
        <v>10</v>
      </c>
      <c r="E3587" s="1073"/>
      <c r="F3587" s="65">
        <f>'update Rate'!F236</f>
        <v>1452.6</v>
      </c>
      <c r="G3587" s="65">
        <f>FLOOR(D3587*F3587,0.01)</f>
        <v>14526</v>
      </c>
      <c r="H3587" s="127">
        <f>SUM(G3586:G3587)</f>
        <v>14526</v>
      </c>
    </row>
    <row r="3588" spans="1:8" ht="16.5">
      <c r="F3588" s="42" t="s">
        <v>1708</v>
      </c>
      <c r="G3588" s="106"/>
      <c r="H3588" s="65">
        <f>SUM(H3587)</f>
        <v>14526</v>
      </c>
    </row>
    <row r="3589" spans="1:8" ht="16.5">
      <c r="B3589" s="1" t="s">
        <v>1710</v>
      </c>
      <c r="F3589" s="42" t="s">
        <v>1689</v>
      </c>
      <c r="G3589" s="106"/>
      <c r="H3589" s="103">
        <f>FLOOR(H3588*0.15,0.01)</f>
        <v>2178.9</v>
      </c>
    </row>
    <row r="3590" spans="1:8" ht="16.5">
      <c r="A3590"/>
      <c r="B3590" s="147">
        <f>+H3590</f>
        <v>16704.900000000001</v>
      </c>
      <c r="C3590" s="28" t="s">
        <v>3384</v>
      </c>
      <c r="D3590" s="103">
        <f>INT(B3590/B3591*100)/100</f>
        <v>1670.49</v>
      </c>
      <c r="E3590" s="1" t="s">
        <v>3385</v>
      </c>
      <c r="F3590" s="42" t="s">
        <v>1711</v>
      </c>
      <c r="G3590" s="106"/>
      <c r="H3590" s="103">
        <f>SUM(H3588:H3589)</f>
        <v>16704.900000000001</v>
      </c>
    </row>
    <row r="3591" spans="1:8">
      <c r="B3591" s="121">
        <v>10</v>
      </c>
    </row>
    <row r="3592" spans="1:8">
      <c r="B3592" s="121"/>
    </row>
    <row r="3593" spans="1:8">
      <c r="B3593" s="121"/>
    </row>
    <row r="3594" spans="1:8">
      <c r="B3594" s="121"/>
    </row>
    <row r="3596" spans="1:8" ht="15.75">
      <c r="A3596" s="282">
        <f>A3583+1</f>
        <v>225</v>
      </c>
      <c r="B3596" s="1097" t="s">
        <v>3237</v>
      </c>
      <c r="C3596" s="1098"/>
      <c r="D3596" s="1098"/>
      <c r="E3596" s="1098"/>
      <c r="F3596" s="1098"/>
      <c r="G3596" s="1098"/>
      <c r="H3596" s="1098"/>
    </row>
    <row r="3597" spans="1:8" ht="16.5" customHeight="1">
      <c r="A3597" s="1019" t="s">
        <v>4462</v>
      </c>
      <c r="B3597" s="1074" t="s">
        <v>1594</v>
      </c>
      <c r="C3597" s="1092"/>
      <c r="D3597" s="1092"/>
      <c r="E3597" s="1092"/>
      <c r="F3597" s="1092"/>
      <c r="G3597" s="1092"/>
      <c r="H3597" s="1092"/>
    </row>
    <row r="3598" spans="1:8" ht="31.5">
      <c r="B3598" s="70" t="s">
        <v>3340</v>
      </c>
      <c r="C3598" s="70" t="s">
        <v>3341</v>
      </c>
      <c r="D3598" s="70" t="s">
        <v>3342</v>
      </c>
      <c r="E3598" s="70" t="s">
        <v>3343</v>
      </c>
      <c r="F3598" s="70" t="s">
        <v>3344</v>
      </c>
      <c r="G3598" s="70" t="s">
        <v>3345</v>
      </c>
      <c r="H3598" s="70" t="s">
        <v>1704</v>
      </c>
    </row>
    <row r="3599" spans="1:8">
      <c r="B3599" s="1069" t="s">
        <v>2330</v>
      </c>
      <c r="C3599" s="1069" t="s">
        <v>1950</v>
      </c>
      <c r="D3599" s="218"/>
      <c r="E3599" s="1069" t="s">
        <v>3170</v>
      </c>
      <c r="F3599" s="113"/>
      <c r="G3599" s="18"/>
      <c r="H3599" s="27"/>
    </row>
    <row r="3600" spans="1:8">
      <c r="B3600" s="1073"/>
      <c r="C3600" s="1073"/>
      <c r="D3600" s="845">
        <v>10</v>
      </c>
      <c r="E3600" s="1073"/>
      <c r="F3600" s="65">
        <f>'update Rate'!F237</f>
        <v>914.6</v>
      </c>
      <c r="G3600" s="65">
        <f>FLOOR(D3600*F3600,0.01)</f>
        <v>9146</v>
      </c>
      <c r="H3600" s="127">
        <f>SUM(G3599:G3600)</f>
        <v>9146</v>
      </c>
    </row>
    <row r="3601" spans="1:8" ht="16.5">
      <c r="F3601" s="42" t="s">
        <v>1708</v>
      </c>
      <c r="G3601" s="106"/>
      <c r="H3601" s="65">
        <f>SUM(H3600)</f>
        <v>9146</v>
      </c>
    </row>
    <row r="3602" spans="1:8" ht="16.5">
      <c r="B3602" s="1" t="s">
        <v>1710</v>
      </c>
      <c r="F3602" s="42" t="s">
        <v>1689</v>
      </c>
      <c r="G3602" s="106"/>
      <c r="H3602" s="103">
        <f>FLOOR(H3601*0.15,0.01)</f>
        <v>1371.9</v>
      </c>
    </row>
    <row r="3603" spans="1:8" ht="16.5">
      <c r="A3603"/>
      <c r="B3603" s="147">
        <f>+H3603</f>
        <v>10517.9</v>
      </c>
      <c r="C3603" s="28" t="s">
        <v>3384</v>
      </c>
      <c r="D3603" s="103">
        <f>INT(B3603/B3604*100)/100</f>
        <v>1051.79</v>
      </c>
      <c r="E3603" s="1" t="s">
        <v>3385</v>
      </c>
      <c r="F3603" s="42" t="s">
        <v>1711</v>
      </c>
      <c r="G3603" s="106"/>
      <c r="H3603" s="103">
        <f>SUM(H3601:H3602)</f>
        <v>10517.9</v>
      </c>
    </row>
    <row r="3604" spans="1:8">
      <c r="B3604" s="121">
        <v>10</v>
      </c>
    </row>
    <row r="3606" spans="1:8" ht="15.75">
      <c r="A3606" s="282">
        <f>A3596+1</f>
        <v>226</v>
      </c>
      <c r="B3606" s="1097" t="s">
        <v>2719</v>
      </c>
      <c r="C3606" s="1098"/>
      <c r="D3606" s="1098"/>
      <c r="E3606" s="1098"/>
      <c r="F3606" s="1098"/>
      <c r="G3606" s="1098"/>
      <c r="H3606" s="1098"/>
    </row>
    <row r="3607" spans="1:8" ht="16.5" customHeight="1">
      <c r="A3607" s="1019" t="s">
        <v>4462</v>
      </c>
      <c r="B3607" s="1074" t="s">
        <v>1594</v>
      </c>
      <c r="C3607" s="1092"/>
      <c r="D3607" s="1092"/>
      <c r="E3607" s="1092"/>
      <c r="F3607" s="1092"/>
      <c r="G3607" s="1092"/>
      <c r="H3607" s="1092"/>
    </row>
    <row r="3608" spans="1:8" ht="31.5">
      <c r="B3608" s="70" t="s">
        <v>3340</v>
      </c>
      <c r="C3608" s="70" t="s">
        <v>3341</v>
      </c>
      <c r="D3608" s="70" t="s">
        <v>3342</v>
      </c>
      <c r="E3608" s="70" t="s">
        <v>3343</v>
      </c>
      <c r="F3608" s="70" t="s">
        <v>3344</v>
      </c>
      <c r="G3608" s="70" t="s">
        <v>3345</v>
      </c>
      <c r="H3608" s="70" t="s">
        <v>1704</v>
      </c>
    </row>
    <row r="3609" spans="1:8">
      <c r="B3609" s="1069" t="s">
        <v>2330</v>
      </c>
      <c r="C3609" s="1069" t="s">
        <v>1950</v>
      </c>
      <c r="D3609" s="218"/>
      <c r="E3609" s="1069" t="s">
        <v>3170</v>
      </c>
      <c r="F3609" s="113"/>
      <c r="G3609" s="18"/>
      <c r="H3609" s="27"/>
    </row>
    <row r="3610" spans="1:8">
      <c r="B3610" s="1073"/>
      <c r="C3610" s="1073"/>
      <c r="D3610" s="845">
        <v>10</v>
      </c>
      <c r="E3610" s="1073"/>
      <c r="F3610" s="65">
        <f>'update Rate'!F238</f>
        <v>236.72</v>
      </c>
      <c r="G3610" s="65">
        <f>FLOOR(D3610*F3610,0.01)</f>
        <v>2367.2000000000003</v>
      </c>
      <c r="H3610" s="127">
        <f>SUM(G3609:G3610)</f>
        <v>2367.2000000000003</v>
      </c>
    </row>
    <row r="3611" spans="1:8" ht="16.5">
      <c r="F3611" s="42" t="s">
        <v>1708</v>
      </c>
      <c r="G3611" s="106"/>
      <c r="H3611" s="65">
        <f>SUM(H3610)</f>
        <v>2367.2000000000003</v>
      </c>
    </row>
    <row r="3612" spans="1:8" ht="16.5">
      <c r="B3612" s="1" t="s">
        <v>1710</v>
      </c>
      <c r="F3612" s="42" t="s">
        <v>1689</v>
      </c>
      <c r="G3612" s="106"/>
      <c r="H3612" s="103">
        <f>FLOOR(H3611*0.15,0.01)</f>
        <v>355.08</v>
      </c>
    </row>
    <row r="3613" spans="1:8" ht="16.5">
      <c r="A3613"/>
      <c r="B3613" s="147">
        <f>+H3613</f>
        <v>2722.28</v>
      </c>
      <c r="C3613" s="28" t="s">
        <v>3384</v>
      </c>
      <c r="D3613" s="103">
        <f>INT(B3613/B3614*100)/100</f>
        <v>272.22000000000003</v>
      </c>
      <c r="E3613" s="1" t="s">
        <v>3385</v>
      </c>
      <c r="F3613" s="42" t="s">
        <v>1711</v>
      </c>
      <c r="G3613" s="106"/>
      <c r="H3613" s="103">
        <f>SUM(H3611:H3612)</f>
        <v>2722.28</v>
      </c>
    </row>
    <row r="3614" spans="1:8">
      <c r="B3614" s="121">
        <v>10</v>
      </c>
    </row>
    <row r="3615" spans="1:8">
      <c r="B3615" s="121"/>
    </row>
    <row r="3616" spans="1:8">
      <c r="B3616" s="121"/>
    </row>
    <row r="3617" spans="1:8">
      <c r="A3617"/>
      <c r="B3617" s="110"/>
      <c r="C3617"/>
      <c r="D3617"/>
      <c r="E3617"/>
      <c r="F3617"/>
      <c r="G3617"/>
      <c r="H3617"/>
    </row>
    <row r="3618" spans="1:8" ht="15.75">
      <c r="A3618" s="282">
        <f>A3606+1</f>
        <v>227</v>
      </c>
      <c r="B3618" s="1097" t="s">
        <v>990</v>
      </c>
      <c r="C3618" s="1098"/>
      <c r="D3618" s="1098"/>
      <c r="E3618" s="1098"/>
      <c r="F3618" s="1098"/>
      <c r="G3618" s="1098"/>
      <c r="H3618" s="1098"/>
    </row>
    <row r="3619" spans="1:8">
      <c r="A3619" s="1019" t="s">
        <v>4463</v>
      </c>
      <c r="B3619" s="1074" t="s">
        <v>1594</v>
      </c>
      <c r="C3619" s="1092"/>
      <c r="D3619" s="1092"/>
      <c r="E3619" s="1092"/>
      <c r="F3619" s="1092"/>
      <c r="G3619" s="1092"/>
      <c r="H3619" s="1092"/>
    </row>
    <row r="3620" spans="1:8" ht="31.5">
      <c r="B3620" s="70" t="s">
        <v>3340</v>
      </c>
      <c r="C3620" s="70" t="s">
        <v>3341</v>
      </c>
      <c r="D3620" s="70" t="s">
        <v>3342</v>
      </c>
      <c r="E3620" s="70" t="s">
        <v>3343</v>
      </c>
      <c r="F3620" s="70" t="s">
        <v>3344</v>
      </c>
      <c r="G3620" s="70" t="s">
        <v>3345</v>
      </c>
      <c r="H3620" s="70" t="s">
        <v>1704</v>
      </c>
    </row>
    <row r="3621" spans="1:8" ht="27" customHeight="1">
      <c r="B3621" s="1069" t="s">
        <v>2330</v>
      </c>
      <c r="C3621" s="1190" t="s">
        <v>990</v>
      </c>
      <c r="D3621" s="218"/>
      <c r="E3621" s="839"/>
      <c r="F3621" s="113"/>
      <c r="G3621" s="18"/>
      <c r="H3621" s="27"/>
    </row>
    <row r="3622" spans="1:8" ht="23.25" customHeight="1">
      <c r="B3622" s="1073"/>
      <c r="C3622" s="1191"/>
      <c r="D3622" s="845">
        <v>10</v>
      </c>
      <c r="E3622" s="837" t="s">
        <v>3170</v>
      </c>
      <c r="F3622" s="65">
        <f>'update Rate'!F368</f>
        <v>419.64</v>
      </c>
      <c r="G3622" s="65">
        <f>FLOOR(D3622*F3622,0.01)</f>
        <v>4196.3999999999996</v>
      </c>
      <c r="H3622" s="127">
        <f>SUM(G3621:G3622)</f>
        <v>4196.3999999999996</v>
      </c>
    </row>
    <row r="3623" spans="1:8" ht="16.5">
      <c r="F3623" s="42" t="s">
        <v>1708</v>
      </c>
      <c r="G3623" s="106"/>
      <c r="H3623" s="65">
        <f>SUM(H3622)</f>
        <v>4196.3999999999996</v>
      </c>
    </row>
    <row r="3624" spans="1:8" ht="16.5">
      <c r="B3624" s="1" t="s">
        <v>1710</v>
      </c>
      <c r="F3624" s="42" t="s">
        <v>1689</v>
      </c>
      <c r="G3624" s="106"/>
      <c r="H3624" s="103">
        <f>FLOOR(H3623*0.15,0.01)</f>
        <v>629.46</v>
      </c>
    </row>
    <row r="3625" spans="1:8" ht="16.5">
      <c r="A3625"/>
      <c r="B3625" s="147">
        <f>+H3625</f>
        <v>4825.8599999999997</v>
      </c>
      <c r="C3625" s="28" t="s">
        <v>3384</v>
      </c>
      <c r="D3625" s="103">
        <f>INT(B3625/B3626*100)/100</f>
        <v>482.58</v>
      </c>
      <c r="E3625" s="1" t="s">
        <v>3385</v>
      </c>
      <c r="F3625" s="42" t="s">
        <v>1711</v>
      </c>
      <c r="G3625" s="106"/>
      <c r="H3625" s="103">
        <f>SUM(H3623:H3624)</f>
        <v>4825.8599999999997</v>
      </c>
    </row>
    <row r="3626" spans="1:8">
      <c r="B3626" s="121">
        <v>10</v>
      </c>
    </row>
    <row r="3627" spans="1:8">
      <c r="B3627" s="121"/>
    </row>
    <row r="3628" spans="1:8">
      <c r="B3628" s="121"/>
    </row>
    <row r="3629" spans="1:8">
      <c r="B3629" s="121"/>
    </row>
    <row r="3630" spans="1:8">
      <c r="B3630" s="121"/>
    </row>
    <row r="3631" spans="1:8" ht="19.5">
      <c r="A3631" s="282">
        <f>A3618+1</f>
        <v>228</v>
      </c>
      <c r="B3631" s="1076" t="s">
        <v>644</v>
      </c>
      <c r="C3631" s="1077"/>
      <c r="D3631" s="1077"/>
      <c r="E3631" s="1077"/>
      <c r="F3631" s="1077"/>
      <c r="G3631" s="1077"/>
      <c r="H3631" s="1077"/>
    </row>
    <row r="3632" spans="1:8">
      <c r="A3632" s="1019" t="s">
        <v>4464</v>
      </c>
      <c r="B3632" s="1075" t="s">
        <v>1594</v>
      </c>
      <c r="C3632" s="1075"/>
      <c r="D3632" s="1075"/>
      <c r="E3632" s="1075"/>
      <c r="F3632" s="1075"/>
      <c r="G3632" s="1075"/>
      <c r="H3632" s="1075"/>
    </row>
    <row r="3633" spans="1:8" ht="31.5">
      <c r="B3633" s="70" t="s">
        <v>3340</v>
      </c>
      <c r="C3633" s="70" t="s">
        <v>3341</v>
      </c>
      <c r="D3633" s="70" t="s">
        <v>3342</v>
      </c>
      <c r="E3633" s="70" t="s">
        <v>3343</v>
      </c>
      <c r="F3633" s="70" t="s">
        <v>3344</v>
      </c>
      <c r="G3633" s="70" t="s">
        <v>3345</v>
      </c>
      <c r="H3633" s="70" t="s">
        <v>1704</v>
      </c>
    </row>
    <row r="3634" spans="1:8" ht="17.25">
      <c r="B3634" s="60" t="s">
        <v>1705</v>
      </c>
      <c r="C3634" s="60" t="s">
        <v>610</v>
      </c>
      <c r="D3634" s="43">
        <v>1.1000000000000001</v>
      </c>
      <c r="E3634" s="57" t="s">
        <v>1707</v>
      </c>
      <c r="F3634" s="111">
        <f>mason</f>
        <v>525</v>
      </c>
      <c r="G3634" s="111">
        <f t="shared" ref="G3634:G3639" si="74">FLOOR(D3634*F3634,0.01)</f>
        <v>577.5</v>
      </c>
      <c r="H3634" s="112"/>
    </row>
    <row r="3635" spans="1:8" ht="17.25">
      <c r="B3635" s="203"/>
      <c r="C3635" s="80" t="s">
        <v>1647</v>
      </c>
      <c r="D3635" s="45">
        <v>3.5</v>
      </c>
      <c r="E3635" s="58" t="s">
        <v>1707</v>
      </c>
      <c r="F3635" s="65">
        <f>'update Rate'!E4</f>
        <v>375</v>
      </c>
      <c r="G3635" s="65">
        <f t="shared" si="74"/>
        <v>1312.5</v>
      </c>
      <c r="H3635" s="127">
        <f>SUM(G3634+G3635)</f>
        <v>1890</v>
      </c>
    </row>
    <row r="3636" spans="1:8" ht="17.25">
      <c r="B3636" s="78" t="s">
        <v>2330</v>
      </c>
      <c r="C3636" s="57" t="s">
        <v>645</v>
      </c>
      <c r="D3636" s="50">
        <v>11</v>
      </c>
      <c r="E3636" s="57" t="s">
        <v>3170</v>
      </c>
      <c r="F3636" s="111">
        <f>'update Rate'!$F$202</f>
        <v>112.5</v>
      </c>
      <c r="G3636" s="114">
        <f t="shared" si="74"/>
        <v>1237.5</v>
      </c>
      <c r="H3636" s="112"/>
    </row>
    <row r="3637" spans="1:8" ht="17.25">
      <c r="B3637" s="217"/>
      <c r="C3637" s="55" t="s">
        <v>646</v>
      </c>
      <c r="D3637" s="211">
        <v>15</v>
      </c>
      <c r="E3637" s="55" t="s">
        <v>3096</v>
      </c>
      <c r="F3637" s="120">
        <f>'update Rate'!$F$164</f>
        <v>90</v>
      </c>
      <c r="G3637" s="113">
        <f t="shared" si="74"/>
        <v>1350</v>
      </c>
      <c r="H3637" s="125"/>
    </row>
    <row r="3638" spans="1:8" ht="17.25">
      <c r="B3638" s="217"/>
      <c r="C3638" s="55" t="s">
        <v>3114</v>
      </c>
      <c r="D3638" s="211">
        <v>60</v>
      </c>
      <c r="E3638" s="55" t="s">
        <v>3096</v>
      </c>
      <c r="F3638" s="120">
        <f>'update Rate'!$F$171</f>
        <v>13</v>
      </c>
      <c r="G3638" s="113">
        <f t="shared" si="74"/>
        <v>780</v>
      </c>
      <c r="H3638" s="125"/>
    </row>
    <row r="3639" spans="1:8" ht="17.25">
      <c r="B3639" s="203"/>
      <c r="C3639" s="58" t="s">
        <v>647</v>
      </c>
      <c r="D3639" s="45">
        <v>0.31</v>
      </c>
      <c r="E3639" s="58" t="s">
        <v>2337</v>
      </c>
      <c r="F3639" s="65">
        <f>'update Rate'!F9</f>
        <v>1659.57</v>
      </c>
      <c r="G3639" s="65">
        <f t="shared" si="74"/>
        <v>514.46</v>
      </c>
      <c r="H3639" s="127">
        <f>SUM(G3636:G3639)</f>
        <v>3881.96</v>
      </c>
    </row>
    <row r="3640" spans="1:8" ht="16.5">
      <c r="F3640" s="42" t="s">
        <v>1708</v>
      </c>
      <c r="G3640" s="138"/>
      <c r="H3640" s="65">
        <f>SUM(H3639,H3635)</f>
        <v>5771.96</v>
      </c>
    </row>
    <row r="3641" spans="1:8" ht="16.5">
      <c r="B3641" s="1" t="s">
        <v>1710</v>
      </c>
      <c r="F3641" s="42" t="s">
        <v>1689</v>
      </c>
      <c r="G3641" s="138"/>
      <c r="H3641" s="103">
        <f>FLOOR(H3640*0.15,0.01)</f>
        <v>865.79</v>
      </c>
    </row>
    <row r="3642" spans="1:8" ht="16.5">
      <c r="A3642"/>
      <c r="B3642" s="147">
        <f>+H3642</f>
        <v>6637.75</v>
      </c>
      <c r="C3642" s="28" t="s">
        <v>3384</v>
      </c>
      <c r="D3642" s="103">
        <f>FLOOR(B3642/B3643,0.01)</f>
        <v>663.77</v>
      </c>
      <c r="E3642" s="1" t="s">
        <v>3385</v>
      </c>
      <c r="F3642" s="42" t="s">
        <v>1711</v>
      </c>
      <c r="G3642" s="138"/>
      <c r="H3642" s="103">
        <f>SUM(H3640:H3641)</f>
        <v>6637.75</v>
      </c>
    </row>
    <row r="3643" spans="1:8">
      <c r="B3643" s="121">
        <v>10</v>
      </c>
    </row>
    <row r="3644" spans="1:8">
      <c r="B3644" s="121"/>
    </row>
    <row r="3646" spans="1:8" ht="19.5">
      <c r="A3646" s="282">
        <f>+A3631+1</f>
        <v>229</v>
      </c>
      <c r="B3646" s="1076" t="s">
        <v>648</v>
      </c>
      <c r="C3646" s="1077"/>
      <c r="D3646" s="1077"/>
      <c r="E3646" s="1077"/>
      <c r="F3646" s="1077"/>
      <c r="G3646" s="1077"/>
      <c r="H3646" s="1077"/>
    </row>
    <row r="3647" spans="1:8">
      <c r="A3647" s="1019" t="s">
        <v>4465</v>
      </c>
      <c r="B3647" s="1075" t="s">
        <v>1594</v>
      </c>
      <c r="C3647" s="1075"/>
      <c r="D3647" s="1075"/>
      <c r="E3647" s="1075"/>
      <c r="F3647" s="1075"/>
      <c r="G3647" s="1075"/>
      <c r="H3647" s="1075"/>
    </row>
    <row r="3648" spans="1:8">
      <c r="A3648" s="40"/>
    </row>
    <row r="3649" spans="1:8" ht="31.5">
      <c r="B3649" s="70" t="s">
        <v>3340</v>
      </c>
      <c r="C3649" s="70" t="s">
        <v>3341</v>
      </c>
      <c r="D3649" s="70" t="s">
        <v>3342</v>
      </c>
      <c r="E3649" s="70" t="s">
        <v>3343</v>
      </c>
      <c r="F3649" s="70" t="s">
        <v>3344</v>
      </c>
      <c r="G3649" s="70" t="s">
        <v>3345</v>
      </c>
      <c r="H3649" s="70" t="s">
        <v>1704</v>
      </c>
    </row>
    <row r="3650" spans="1:8" ht="17.25">
      <c r="B3650" s="60" t="s">
        <v>1705</v>
      </c>
      <c r="C3650" s="60" t="s">
        <v>610</v>
      </c>
      <c r="D3650" s="43">
        <v>2.2999999999999998</v>
      </c>
      <c r="E3650" s="57" t="s">
        <v>1707</v>
      </c>
      <c r="F3650" s="111">
        <f>mason</f>
        <v>525</v>
      </c>
      <c r="G3650" s="111">
        <f t="shared" ref="G3650:G3655" si="75">FLOOR(D3650*F3650,0.01)</f>
        <v>1207.5</v>
      </c>
      <c r="H3650" s="112"/>
    </row>
    <row r="3651" spans="1:8" ht="17.25">
      <c r="B3651" s="203"/>
      <c r="C3651" s="80" t="s">
        <v>1647</v>
      </c>
      <c r="D3651" s="45">
        <v>4.5999999999999996</v>
      </c>
      <c r="E3651" s="58" t="s">
        <v>1707</v>
      </c>
      <c r="F3651" s="65">
        <f>'update Rate'!E4</f>
        <v>375</v>
      </c>
      <c r="G3651" s="65">
        <f t="shared" si="75"/>
        <v>1725</v>
      </c>
      <c r="H3651" s="127">
        <f>SUM(G3650+G3651)</f>
        <v>2932.5</v>
      </c>
    </row>
    <row r="3652" spans="1:8" ht="17.25">
      <c r="B3652" s="78" t="s">
        <v>2330</v>
      </c>
      <c r="C3652" s="57" t="s">
        <v>645</v>
      </c>
      <c r="D3652" s="43">
        <v>22</v>
      </c>
      <c r="E3652" s="57" t="s">
        <v>3170</v>
      </c>
      <c r="F3652" s="111">
        <f>'update Rate'!$F$202</f>
        <v>112.5</v>
      </c>
      <c r="G3652" s="114">
        <f t="shared" si="75"/>
        <v>2475</v>
      </c>
      <c r="H3652" s="112"/>
    </row>
    <row r="3653" spans="1:8" ht="17.25">
      <c r="B3653" s="217"/>
      <c r="C3653" s="55" t="s">
        <v>646</v>
      </c>
      <c r="D3653" s="44">
        <v>25</v>
      </c>
      <c r="E3653" s="55" t="s">
        <v>3096</v>
      </c>
      <c r="F3653" s="120">
        <f>'update Rate'!$F$164</f>
        <v>90</v>
      </c>
      <c r="G3653" s="113">
        <f t="shared" si="75"/>
        <v>2250</v>
      </c>
      <c r="H3653" s="125"/>
    </row>
    <row r="3654" spans="1:8" ht="17.25">
      <c r="B3654" s="217"/>
      <c r="C3654" s="55" t="s">
        <v>3114</v>
      </c>
      <c r="D3654" s="44">
        <v>80</v>
      </c>
      <c r="E3654" s="55" t="s">
        <v>3096</v>
      </c>
      <c r="F3654" s="120">
        <f>'update Rate'!$F$171</f>
        <v>13</v>
      </c>
      <c r="G3654" s="113">
        <f t="shared" si="75"/>
        <v>1040</v>
      </c>
      <c r="H3654" s="125"/>
    </row>
    <row r="3655" spans="1:8" ht="17.25">
      <c r="B3655" s="203"/>
      <c r="C3655" s="58" t="s">
        <v>647</v>
      </c>
      <c r="D3655" s="45">
        <v>0.31</v>
      </c>
      <c r="E3655" s="58" t="s">
        <v>2337</v>
      </c>
      <c r="F3655" s="65">
        <f>'update Rate'!F9</f>
        <v>1659.57</v>
      </c>
      <c r="G3655" s="65">
        <f t="shared" si="75"/>
        <v>514.46</v>
      </c>
      <c r="H3655" s="127">
        <f>SUM(G3652:G3655)</f>
        <v>6279.46</v>
      </c>
    </row>
    <row r="3656" spans="1:8" ht="16.5">
      <c r="F3656" s="42" t="s">
        <v>1708</v>
      </c>
      <c r="G3656" s="138"/>
      <c r="H3656" s="65">
        <f>SUM(H3655,H3651)</f>
        <v>9211.9599999999991</v>
      </c>
    </row>
    <row r="3657" spans="1:8" ht="16.5">
      <c r="B3657" s="1" t="s">
        <v>1710</v>
      </c>
      <c r="F3657" s="42" t="s">
        <v>1689</v>
      </c>
      <c r="G3657" s="138"/>
      <c r="H3657" s="103">
        <f>FLOOR(H3656*0.15,0.01)</f>
        <v>1381.79</v>
      </c>
    </row>
    <row r="3658" spans="1:8" ht="16.5">
      <c r="A3658"/>
      <c r="B3658" s="147">
        <f>+H3658</f>
        <v>10593.75</v>
      </c>
      <c r="C3658" s="28" t="s">
        <v>3384</v>
      </c>
      <c r="D3658" s="103">
        <f>FLOOR(B3658/B3659,0.01)</f>
        <v>1059.3700000000001</v>
      </c>
      <c r="E3658" s="1" t="s">
        <v>3385</v>
      </c>
      <c r="F3658" s="42" t="s">
        <v>1711</v>
      </c>
      <c r="G3658" s="138"/>
      <c r="H3658" s="103">
        <f>SUM(H3656:H3657)</f>
        <v>10593.75</v>
      </c>
    </row>
    <row r="3659" spans="1:8">
      <c r="B3659" s="121">
        <v>10</v>
      </c>
    </row>
    <row r="3660" spans="1:8">
      <c r="B3660" s="121"/>
    </row>
    <row r="3661" spans="1:8">
      <c r="B3661" s="121"/>
    </row>
    <row r="3662" spans="1:8">
      <c r="B3662" s="121"/>
    </row>
    <row r="3663" spans="1:8" ht="19.5">
      <c r="A3663" s="32"/>
      <c r="B3663" s="1072" t="s">
        <v>1520</v>
      </c>
      <c r="C3663" s="1072"/>
      <c r="D3663" s="1072"/>
      <c r="E3663" s="1072"/>
      <c r="F3663" s="1072"/>
      <c r="G3663" s="1072"/>
      <c r="H3663" s="1072"/>
    </row>
    <row r="3664" spans="1:8" ht="19.5">
      <c r="A3664" s="282">
        <f>A3646+1</f>
        <v>230</v>
      </c>
      <c r="B3664" s="1076" t="s">
        <v>2032</v>
      </c>
      <c r="C3664" s="1077"/>
      <c r="D3664" s="1077"/>
      <c r="E3664" s="1077"/>
      <c r="F3664" s="1077"/>
      <c r="G3664" s="1077"/>
      <c r="H3664" s="1077"/>
    </row>
    <row r="3665" spans="1:8">
      <c r="A3665" s="1019" t="s">
        <v>4466</v>
      </c>
      <c r="B3665" s="1074" t="s">
        <v>1594</v>
      </c>
      <c r="C3665" s="1075"/>
      <c r="D3665" s="1075"/>
      <c r="E3665" s="1075"/>
      <c r="F3665" s="1075"/>
      <c r="G3665" s="1075"/>
      <c r="H3665" s="1075"/>
    </row>
    <row r="3666" spans="1:8" ht="31.5">
      <c r="B3666" s="70" t="s">
        <v>3340</v>
      </c>
      <c r="C3666" s="70" t="s">
        <v>3341</v>
      </c>
      <c r="D3666" s="70" t="s">
        <v>3342</v>
      </c>
      <c r="E3666" s="70" t="s">
        <v>3343</v>
      </c>
      <c r="F3666" s="70" t="s">
        <v>3344</v>
      </c>
      <c r="G3666" s="70" t="s">
        <v>3345</v>
      </c>
      <c r="H3666" s="70" t="s">
        <v>1704</v>
      </c>
    </row>
    <row r="3667" spans="1:8" ht="13.5" customHeight="1">
      <c r="B3667" s="1067" t="s">
        <v>1705</v>
      </c>
      <c r="C3667" s="60" t="s">
        <v>610</v>
      </c>
      <c r="D3667" s="43">
        <v>0.75</v>
      </c>
      <c r="E3667" s="57" t="s">
        <v>1707</v>
      </c>
      <c r="F3667" s="111">
        <f>'update Rate'!F5</f>
        <v>525</v>
      </c>
      <c r="G3667" s="111">
        <f>FLOOR(D3667*F3667,0.01)</f>
        <v>393.75</v>
      </c>
      <c r="H3667" s="112"/>
    </row>
    <row r="3668" spans="1:8" ht="17.25">
      <c r="B3668" s="1070"/>
      <c r="C3668" s="80" t="s">
        <v>1647</v>
      </c>
      <c r="D3668" s="45">
        <v>0.8</v>
      </c>
      <c r="E3668" s="58" t="s">
        <v>1707</v>
      </c>
      <c r="F3668" s="65">
        <f>'update Rate'!F4</f>
        <v>375</v>
      </c>
      <c r="G3668" s="65">
        <f>FLOOR(D3668*F3668,0.01)</f>
        <v>300</v>
      </c>
      <c r="H3668" s="127">
        <f>SUM(G3667+G3668)</f>
        <v>693.75</v>
      </c>
    </row>
    <row r="3669" spans="1:8" ht="17.25">
      <c r="B3669" s="1069" t="s">
        <v>2330</v>
      </c>
      <c r="C3669" s="57" t="s">
        <v>1650</v>
      </c>
      <c r="D3669" s="48">
        <v>0.13500000000000001</v>
      </c>
      <c r="E3669" s="57" t="s">
        <v>804</v>
      </c>
      <c r="F3669" s="114">
        <f>'update Rate'!F15</f>
        <v>14200</v>
      </c>
      <c r="G3669" s="114">
        <f>FLOOR(D3669*F3669,0.01)</f>
        <v>1917</v>
      </c>
      <c r="H3669" s="112"/>
    </row>
    <row r="3670" spans="1:8" ht="17.25">
      <c r="B3670" s="1095"/>
      <c r="C3670" s="55" t="s">
        <v>801</v>
      </c>
      <c r="D3670" s="44">
        <v>0.18</v>
      </c>
      <c r="E3670" s="55" t="s">
        <v>2530</v>
      </c>
      <c r="F3670" s="113">
        <f>'update Rate'!F8</f>
        <v>1659.57</v>
      </c>
      <c r="G3670" s="113">
        <f>FLOOR(D3670*F3670,0.01)</f>
        <v>298.72000000000003</v>
      </c>
      <c r="H3670" s="9"/>
    </row>
    <row r="3671" spans="1:8" ht="17.25">
      <c r="B3671" s="1070"/>
      <c r="C3671" s="58" t="s">
        <v>2761</v>
      </c>
      <c r="D3671" s="45">
        <v>2.7</v>
      </c>
      <c r="E3671" s="58" t="s">
        <v>3096</v>
      </c>
      <c r="F3671" s="65">
        <f>'update Rate'!F170</f>
        <v>65</v>
      </c>
      <c r="G3671" s="65">
        <f>FLOOR(D3671*F3671,0.01)</f>
        <v>175.5</v>
      </c>
      <c r="H3671" s="127">
        <f>SUM(G3669+G3670+G3671)</f>
        <v>2391.2200000000003</v>
      </c>
    </row>
    <row r="3672" spans="1:8" ht="16.5">
      <c r="F3672" s="42" t="s">
        <v>1708</v>
      </c>
      <c r="G3672" s="106"/>
      <c r="H3672" s="65">
        <f>SUM(H3668:H3671)</f>
        <v>3084.9700000000003</v>
      </c>
    </row>
    <row r="3673" spans="1:8" ht="16.5">
      <c r="B3673" s="1" t="s">
        <v>1710</v>
      </c>
      <c r="F3673" s="42" t="s">
        <v>1688</v>
      </c>
      <c r="G3673" s="106"/>
      <c r="H3673" s="103">
        <f>FLOOR(H3672*0.15,0.01)</f>
        <v>462.74</v>
      </c>
    </row>
    <row r="3674" spans="1:8" ht="16.5">
      <c r="A3674"/>
      <c r="B3674" s="147">
        <f>+H3674</f>
        <v>3547.71</v>
      </c>
      <c r="C3674" s="28" t="s">
        <v>3384</v>
      </c>
      <c r="D3674" s="103">
        <f>INT(B3674/B3675*100)/100</f>
        <v>354.77</v>
      </c>
      <c r="E3674" s="1" t="s">
        <v>3385</v>
      </c>
      <c r="F3674" s="42" t="s">
        <v>1711</v>
      </c>
      <c r="G3674" s="106"/>
      <c r="H3674" s="103">
        <f>SUM(H3672:H3673)</f>
        <v>3547.71</v>
      </c>
    </row>
    <row r="3675" spans="1:8" ht="16.5">
      <c r="A3675"/>
      <c r="B3675" s="121">
        <v>10</v>
      </c>
      <c r="F3675" s="42"/>
      <c r="G3675" s="106"/>
      <c r="H3675" s="151"/>
    </row>
    <row r="3676" spans="1:8" ht="16.5">
      <c r="A3676" s="1036"/>
      <c r="B3676" s="121"/>
      <c r="F3676" s="42"/>
      <c r="G3676" s="106"/>
      <c r="H3676" s="151"/>
    </row>
    <row r="3677" spans="1:8" ht="16.5">
      <c r="A3677" s="1036"/>
      <c r="B3677" s="121"/>
      <c r="F3677" s="42"/>
      <c r="G3677" s="106"/>
      <c r="H3677" s="151"/>
    </row>
    <row r="3678" spans="1:8" ht="16.5">
      <c r="A3678" s="1036"/>
      <c r="B3678" s="121"/>
      <c r="F3678" s="42"/>
      <c r="G3678" s="106"/>
      <c r="H3678" s="151"/>
    </row>
    <row r="3680" spans="1:8" ht="23.25">
      <c r="A3680" s="282">
        <f>+A3664+1</f>
        <v>231</v>
      </c>
      <c r="B3680" s="1071" t="s">
        <v>3108</v>
      </c>
      <c r="C3680" s="1072"/>
      <c r="D3680" s="1072"/>
      <c r="E3680" s="1072"/>
      <c r="F3680" s="1072"/>
      <c r="G3680" s="1072"/>
      <c r="H3680" s="1072"/>
    </row>
    <row r="3681" spans="1:8">
      <c r="A3681" s="1019" t="s">
        <v>4467</v>
      </c>
      <c r="B3681" s="1074" t="s">
        <v>1521</v>
      </c>
      <c r="C3681" s="1075"/>
      <c r="D3681" s="1075"/>
      <c r="E3681" s="1075"/>
      <c r="F3681" s="1075"/>
      <c r="G3681" s="1075"/>
      <c r="H3681" s="1075"/>
    </row>
    <row r="3682" spans="1:8" ht="31.5">
      <c r="B3682" s="70" t="s">
        <v>3340</v>
      </c>
      <c r="C3682" s="70" t="s">
        <v>3341</v>
      </c>
      <c r="D3682" s="70" t="s">
        <v>3342</v>
      </c>
      <c r="E3682" s="70" t="s">
        <v>3343</v>
      </c>
      <c r="F3682" s="70" t="s">
        <v>3344</v>
      </c>
      <c r="G3682" s="70" t="s">
        <v>3345</v>
      </c>
      <c r="H3682" s="70" t="s">
        <v>1704</v>
      </c>
    </row>
    <row r="3683" spans="1:8" ht="17.25">
      <c r="B3683" s="1067" t="s">
        <v>1705</v>
      </c>
      <c r="C3683" s="60" t="s">
        <v>610</v>
      </c>
      <c r="D3683" s="43">
        <v>1</v>
      </c>
      <c r="E3683" s="57" t="s">
        <v>1707</v>
      </c>
      <c r="F3683" s="111">
        <f>'update Rate'!F5</f>
        <v>525</v>
      </c>
      <c r="G3683" s="111">
        <f t="shared" ref="G3683:G3688" si="76">FLOOR(D3683*F3683,0.01)</f>
        <v>525</v>
      </c>
      <c r="H3683" s="112"/>
    </row>
    <row r="3684" spans="1:8" ht="17.25">
      <c r="B3684" s="1070"/>
      <c r="C3684" s="80" t="s">
        <v>1647</v>
      </c>
      <c r="D3684" s="45">
        <v>1.25</v>
      </c>
      <c r="E3684" s="58" t="s">
        <v>1707</v>
      </c>
      <c r="F3684" s="65">
        <f>'update Rate'!F4</f>
        <v>375</v>
      </c>
      <c r="G3684" s="65">
        <f t="shared" si="76"/>
        <v>468.75</v>
      </c>
      <c r="H3684" s="127">
        <f>SUM(G3683+G3684)</f>
        <v>993.75</v>
      </c>
    </row>
    <row r="3685" spans="1:8" ht="17.25">
      <c r="B3685" s="1069" t="s">
        <v>2330</v>
      </c>
      <c r="C3685" s="57" t="s">
        <v>1650</v>
      </c>
      <c r="D3685" s="48">
        <v>0.112</v>
      </c>
      <c r="E3685" s="57" t="s">
        <v>804</v>
      </c>
      <c r="F3685" s="114">
        <f>'update Rate'!F15</f>
        <v>14200</v>
      </c>
      <c r="G3685" s="114">
        <f t="shared" si="76"/>
        <v>1590.4</v>
      </c>
      <c r="H3685" s="112"/>
    </row>
    <row r="3686" spans="1:8" ht="17.25">
      <c r="B3686" s="1095"/>
      <c r="C3686" s="55" t="s">
        <v>801</v>
      </c>
      <c r="D3686" s="54">
        <v>0.113</v>
      </c>
      <c r="E3686" s="55" t="s">
        <v>2530</v>
      </c>
      <c r="F3686" s="113">
        <f>'update Rate'!F8</f>
        <v>1659.57</v>
      </c>
      <c r="G3686" s="113">
        <f t="shared" si="76"/>
        <v>187.53</v>
      </c>
      <c r="H3686" s="137"/>
    </row>
    <row r="3687" spans="1:8" ht="17.25">
      <c r="B3687" s="1095"/>
      <c r="C3687" s="55" t="s">
        <v>2761</v>
      </c>
      <c r="D3687" s="44">
        <v>2.25</v>
      </c>
      <c r="E3687" s="55" t="s">
        <v>3096</v>
      </c>
      <c r="F3687" s="113">
        <f>'update Rate'!F170</f>
        <v>65</v>
      </c>
      <c r="G3687" s="113">
        <f t="shared" si="76"/>
        <v>146.25</v>
      </c>
      <c r="H3687" s="9"/>
    </row>
    <row r="3688" spans="1:8" ht="17.25">
      <c r="B3688" s="1070"/>
      <c r="C3688" s="58" t="s">
        <v>3109</v>
      </c>
      <c r="D3688" s="45">
        <v>0.25</v>
      </c>
      <c r="E3688" s="58" t="s">
        <v>2530</v>
      </c>
      <c r="F3688" s="65">
        <f>'update Rate'!F35</f>
        <v>1730.19</v>
      </c>
      <c r="G3688" s="65">
        <f t="shared" si="76"/>
        <v>432.54</v>
      </c>
      <c r="H3688" s="127">
        <f>SUM(G3685+G3686+G3687+G3688)</f>
        <v>2356.7200000000003</v>
      </c>
    </row>
    <row r="3689" spans="1:8">
      <c r="F3689" s="1" t="s">
        <v>1708</v>
      </c>
      <c r="G3689" s="2"/>
      <c r="H3689" s="65">
        <f>SUM(H3684:H3688)</f>
        <v>3350.4700000000003</v>
      </c>
    </row>
    <row r="3690" spans="1:8">
      <c r="B3690" s="1" t="s">
        <v>1710</v>
      </c>
      <c r="F3690" s="1" t="s">
        <v>1688</v>
      </c>
      <c r="G3690" s="2"/>
      <c r="H3690" s="103">
        <f>FLOOR(H3689*0.15,0.01)</f>
        <v>502.57</v>
      </c>
    </row>
    <row r="3691" spans="1:8">
      <c r="A3691"/>
      <c r="B3691" s="147">
        <f>+H3691</f>
        <v>3853.0400000000004</v>
      </c>
      <c r="C3691" s="28" t="s">
        <v>3384</v>
      </c>
      <c r="D3691" s="103">
        <f>INT(B3691/B3692*100)/100</f>
        <v>385.3</v>
      </c>
      <c r="E3691" s="1" t="s">
        <v>3385</v>
      </c>
      <c r="F3691" s="1" t="s">
        <v>1711</v>
      </c>
      <c r="G3691" s="2"/>
      <c r="H3691" s="103">
        <f>SUM(H3689:H3690)</f>
        <v>3853.0400000000004</v>
      </c>
    </row>
    <row r="3692" spans="1:8">
      <c r="A3692" s="28"/>
      <c r="B3692" s="121">
        <v>10</v>
      </c>
      <c r="H3692" s="19"/>
    </row>
    <row r="3693" spans="1:8">
      <c r="A3693" s="28"/>
      <c r="B3693" s="121"/>
      <c r="H3693" s="19"/>
    </row>
    <row r="3694" spans="1:8" ht="19.5">
      <c r="A3694" s="282">
        <f>+A3680+1</f>
        <v>232</v>
      </c>
      <c r="B3694" s="1076" t="s">
        <v>3110</v>
      </c>
      <c r="C3694" s="1077"/>
      <c r="D3694" s="1077"/>
      <c r="E3694" s="1077"/>
      <c r="F3694" s="1077"/>
      <c r="G3694" s="1077"/>
      <c r="H3694" s="1077"/>
    </row>
    <row r="3695" spans="1:8">
      <c r="A3695" s="1019" t="s">
        <v>4467</v>
      </c>
      <c r="B3695" s="1074" t="s">
        <v>1594</v>
      </c>
      <c r="C3695" s="1075"/>
      <c r="D3695" s="1075"/>
      <c r="E3695" s="1075"/>
      <c r="F3695" s="1075"/>
      <c r="G3695" s="1075"/>
      <c r="H3695" s="1075"/>
    </row>
    <row r="3696" spans="1:8" ht="31.5">
      <c r="B3696" s="70" t="s">
        <v>3340</v>
      </c>
      <c r="C3696" s="70" t="s">
        <v>3341</v>
      </c>
      <c r="D3696" s="70" t="s">
        <v>3342</v>
      </c>
      <c r="E3696" s="70" t="s">
        <v>3343</v>
      </c>
      <c r="F3696" s="70" t="s">
        <v>3344</v>
      </c>
      <c r="G3696" s="70" t="s">
        <v>3345</v>
      </c>
      <c r="H3696" s="70" t="s">
        <v>1704</v>
      </c>
    </row>
    <row r="3697" spans="1:8" ht="17.25">
      <c r="B3697" s="1067" t="s">
        <v>1705</v>
      </c>
      <c r="C3697" s="60" t="s">
        <v>610</v>
      </c>
      <c r="D3697" s="43">
        <v>1</v>
      </c>
      <c r="E3697" s="57" t="s">
        <v>1707</v>
      </c>
      <c r="F3697" s="111">
        <f>'update Rate'!F5</f>
        <v>525</v>
      </c>
      <c r="G3697" s="111">
        <f t="shared" ref="G3697:G3702" si="77">FLOOR(D3697*F3697,0.01)</f>
        <v>525</v>
      </c>
      <c r="H3697" s="112"/>
    </row>
    <row r="3698" spans="1:8" ht="17.25">
      <c r="B3698" s="1070"/>
      <c r="C3698" s="80" t="s">
        <v>1647</v>
      </c>
      <c r="D3698" s="45">
        <v>2</v>
      </c>
      <c r="E3698" s="58" t="s">
        <v>1707</v>
      </c>
      <c r="F3698" s="65">
        <f>'update Rate'!F4</f>
        <v>375</v>
      </c>
      <c r="G3698" s="65">
        <f t="shared" si="77"/>
        <v>750</v>
      </c>
      <c r="H3698" s="127">
        <f>SUM(G3697+G3698)</f>
        <v>1275</v>
      </c>
    </row>
    <row r="3699" spans="1:8" ht="17.25">
      <c r="B3699" s="1069" t="s">
        <v>2330</v>
      </c>
      <c r="C3699" s="57" t="s">
        <v>1650</v>
      </c>
      <c r="D3699" s="43">
        <v>0.12</v>
      </c>
      <c r="E3699" s="57" t="s">
        <v>804</v>
      </c>
      <c r="F3699" s="114">
        <f>'update Rate'!F15</f>
        <v>14200</v>
      </c>
      <c r="G3699" s="114">
        <f t="shared" si="77"/>
        <v>1704</v>
      </c>
      <c r="H3699" s="112"/>
    </row>
    <row r="3700" spans="1:8" ht="17.25">
      <c r="B3700" s="1095"/>
      <c r="C3700" s="55" t="s">
        <v>801</v>
      </c>
      <c r="D3700" s="44">
        <v>0.17</v>
      </c>
      <c r="E3700" s="55" t="s">
        <v>2530</v>
      </c>
      <c r="F3700" s="113">
        <f>'update Rate'!F8</f>
        <v>1659.57</v>
      </c>
      <c r="G3700" s="113">
        <f t="shared" si="77"/>
        <v>282.12</v>
      </c>
      <c r="H3700" s="137"/>
    </row>
    <row r="3701" spans="1:8" ht="17.25">
      <c r="B3701" s="1095"/>
      <c r="C3701" s="55" t="s">
        <v>2761</v>
      </c>
      <c r="D3701" s="44">
        <v>2.88</v>
      </c>
      <c r="E3701" s="55" t="s">
        <v>3096</v>
      </c>
      <c r="F3701" s="113">
        <f>'update Rate'!F170</f>
        <v>65</v>
      </c>
      <c r="G3701" s="113">
        <f t="shared" si="77"/>
        <v>187.20000000000002</v>
      </c>
      <c r="H3701" s="9"/>
    </row>
    <row r="3702" spans="1:8" ht="17.25">
      <c r="B3702" s="1070"/>
      <c r="C3702" s="58" t="s">
        <v>3109</v>
      </c>
      <c r="D3702" s="45">
        <v>0.34</v>
      </c>
      <c r="E3702" s="58" t="s">
        <v>2530</v>
      </c>
      <c r="F3702" s="65">
        <f>'update Rate'!F35</f>
        <v>1730.19</v>
      </c>
      <c r="G3702" s="65">
        <f t="shared" si="77"/>
        <v>588.26</v>
      </c>
      <c r="H3702" s="127">
        <f>SUM(G3699+G3700+G3701+G3702)</f>
        <v>2761.58</v>
      </c>
    </row>
    <row r="3703" spans="1:8" ht="15.75">
      <c r="F3703" s="42" t="s">
        <v>1708</v>
      </c>
      <c r="G3703" s="2"/>
      <c r="H3703" s="65">
        <f>SUM(H3698:H3702)</f>
        <v>4036.58</v>
      </c>
    </row>
    <row r="3704" spans="1:8" ht="15.75">
      <c r="B3704" s="1" t="s">
        <v>1710</v>
      </c>
      <c r="F3704" s="42" t="s">
        <v>1688</v>
      </c>
      <c r="G3704" s="2"/>
      <c r="H3704" s="103">
        <f>FLOOR(H3703*0.15,0.01)</f>
        <v>605.48</v>
      </c>
    </row>
    <row r="3705" spans="1:8" ht="15.75">
      <c r="A3705"/>
      <c r="B3705" s="147">
        <f>+H3705</f>
        <v>4642.0599999999995</v>
      </c>
      <c r="C3705" s="28" t="s">
        <v>3384</v>
      </c>
      <c r="D3705" s="103">
        <f>INT(B3705/B3706*100)/100</f>
        <v>464.2</v>
      </c>
      <c r="E3705" s="1" t="s">
        <v>3385</v>
      </c>
      <c r="F3705" s="42" t="s">
        <v>1711</v>
      </c>
      <c r="G3705" s="2"/>
      <c r="H3705" s="103">
        <f>SUM(H3703:H3704)</f>
        <v>4642.0599999999995</v>
      </c>
    </row>
    <row r="3706" spans="1:8">
      <c r="B3706" s="121">
        <v>10</v>
      </c>
    </row>
    <row r="3707" spans="1:8">
      <c r="B3707" s="121"/>
    </row>
    <row r="3708" spans="1:8">
      <c r="B3708" s="121"/>
    </row>
    <row r="3709" spans="1:8" ht="19.5">
      <c r="A3709" s="282">
        <f>+A3694+1</f>
        <v>233</v>
      </c>
      <c r="B3709" s="1076" t="s">
        <v>3111</v>
      </c>
      <c r="C3709" s="1077"/>
      <c r="D3709" s="1077"/>
      <c r="E3709" s="1077"/>
      <c r="F3709" s="1077"/>
      <c r="G3709" s="1077"/>
      <c r="H3709" s="1077"/>
    </row>
    <row r="3710" spans="1:8">
      <c r="A3710" s="1019" t="s">
        <v>4468</v>
      </c>
      <c r="B3710" s="1074" t="s">
        <v>1594</v>
      </c>
      <c r="C3710" s="1075"/>
      <c r="D3710" s="1075"/>
      <c r="E3710" s="1075"/>
      <c r="F3710" s="1075"/>
      <c r="G3710" s="1075"/>
      <c r="H3710" s="1075"/>
    </row>
    <row r="3711" spans="1:8" ht="31.5">
      <c r="B3711" s="70" t="s">
        <v>3340</v>
      </c>
      <c r="C3711" s="70" t="s">
        <v>3341</v>
      </c>
      <c r="D3711" s="70" t="s">
        <v>3342</v>
      </c>
      <c r="E3711" s="70" t="s">
        <v>3343</v>
      </c>
      <c r="F3711" s="70" t="s">
        <v>3344</v>
      </c>
      <c r="G3711" s="70" t="s">
        <v>3345</v>
      </c>
      <c r="H3711" s="70" t="s">
        <v>1704</v>
      </c>
    </row>
    <row r="3712" spans="1:8" ht="17.25">
      <c r="B3712" s="60" t="s">
        <v>1705</v>
      </c>
      <c r="C3712" s="80" t="s">
        <v>1180</v>
      </c>
      <c r="D3712" s="45">
        <v>0.6</v>
      </c>
      <c r="E3712" s="58" t="s">
        <v>1707</v>
      </c>
      <c r="F3712" s="65">
        <f>'update Rate'!F4</f>
        <v>375</v>
      </c>
      <c r="G3712" s="65">
        <f>FLOOR(D3712*F3712,0.01)</f>
        <v>225</v>
      </c>
      <c r="H3712" s="65">
        <f>SUM(G3712)</f>
        <v>225</v>
      </c>
    </row>
    <row r="3713" spans="1:8" ht="17.25">
      <c r="B3713" s="1069" t="s">
        <v>2330</v>
      </c>
      <c r="C3713" s="57" t="s">
        <v>3112</v>
      </c>
      <c r="D3713" s="43">
        <v>10</v>
      </c>
      <c r="E3713" s="57" t="s">
        <v>3096</v>
      </c>
      <c r="F3713" s="113">
        <f>'update Rate'!F163</f>
        <v>240</v>
      </c>
      <c r="G3713" s="114">
        <f>FLOOR(D3713*F3713,0.01)</f>
        <v>2400</v>
      </c>
      <c r="H3713" s="112"/>
    </row>
    <row r="3714" spans="1:8" ht="17.25">
      <c r="B3714" s="1095"/>
      <c r="C3714" s="55" t="s">
        <v>3113</v>
      </c>
      <c r="D3714" s="44">
        <v>0.02</v>
      </c>
      <c r="E3714" s="55" t="s">
        <v>2530</v>
      </c>
      <c r="F3714" s="113">
        <f>'update Rate'!F9</f>
        <v>1659.57</v>
      </c>
      <c r="G3714" s="113">
        <f>FLOOR(D3714*F3714,0.01)</f>
        <v>33.19</v>
      </c>
      <c r="H3714" s="9"/>
    </row>
    <row r="3715" spans="1:8" ht="17.25">
      <c r="B3715" s="1070"/>
      <c r="C3715" s="58" t="s">
        <v>3114</v>
      </c>
      <c r="D3715" s="45">
        <v>30</v>
      </c>
      <c r="E3715" s="58" t="s">
        <v>3096</v>
      </c>
      <c r="F3715" s="65">
        <f>'update Rate'!F171</f>
        <v>13</v>
      </c>
      <c r="G3715" s="65">
        <f>FLOOR(D3715*F3715,0.01)</f>
        <v>390</v>
      </c>
      <c r="H3715" s="127">
        <f>SUM(G3713+G3714+G3715+G3716)</f>
        <v>2823.19</v>
      </c>
    </row>
    <row r="3716" spans="1:8" ht="16.5">
      <c r="F3716" s="42" t="s">
        <v>1708</v>
      </c>
      <c r="G3716" s="106"/>
      <c r="H3716" s="65">
        <f>SUM(H3712:H3715)</f>
        <v>3048.19</v>
      </c>
    </row>
    <row r="3717" spans="1:8" ht="16.5">
      <c r="B3717" s="1" t="s">
        <v>1710</v>
      </c>
      <c r="F3717" s="42" t="s">
        <v>1688</v>
      </c>
      <c r="G3717" s="106"/>
      <c r="H3717" s="103">
        <f>FLOOR(H3716*0.15,0.01)</f>
        <v>457.22</v>
      </c>
    </row>
    <row r="3718" spans="1:8" ht="16.5">
      <c r="A3718"/>
      <c r="B3718" s="147">
        <f>+H3718</f>
        <v>3505.41</v>
      </c>
      <c r="C3718" s="28" t="s">
        <v>3384</v>
      </c>
      <c r="D3718" s="103">
        <f>INT(B3718/B3719*100)/100</f>
        <v>350.54</v>
      </c>
      <c r="E3718" s="1" t="s">
        <v>3385</v>
      </c>
      <c r="F3718" s="42" t="s">
        <v>1711</v>
      </c>
      <c r="G3718" s="106"/>
      <c r="H3718" s="103">
        <f>SUM(H3716:H3717)</f>
        <v>3505.41</v>
      </c>
    </row>
    <row r="3719" spans="1:8">
      <c r="B3719" s="121">
        <v>10</v>
      </c>
    </row>
    <row r="3720" spans="1:8">
      <c r="B3720" s="121"/>
    </row>
    <row r="3721" spans="1:8">
      <c r="B3721" s="121"/>
    </row>
    <row r="3722" spans="1:8">
      <c r="B3722" s="121"/>
    </row>
    <row r="3723" spans="1:8" ht="19.5">
      <c r="A3723" s="282">
        <f>+A3709+1</f>
        <v>234</v>
      </c>
      <c r="B3723" s="1076" t="s">
        <v>1094</v>
      </c>
      <c r="C3723" s="1077"/>
      <c r="D3723" s="1077"/>
      <c r="E3723" s="1077"/>
      <c r="F3723" s="1077"/>
      <c r="G3723" s="1077"/>
      <c r="H3723" s="1077"/>
    </row>
    <row r="3724" spans="1:8">
      <c r="A3724" s="1019" t="s">
        <v>4469</v>
      </c>
      <c r="B3724" s="1074" t="s">
        <v>1594</v>
      </c>
      <c r="C3724" s="1075"/>
      <c r="D3724" s="1075"/>
      <c r="E3724" s="1075"/>
      <c r="F3724" s="1075"/>
      <c r="G3724" s="1075"/>
      <c r="H3724" s="1075"/>
    </row>
    <row r="3725" spans="1:8" ht="31.5">
      <c r="B3725" s="70" t="s">
        <v>3340</v>
      </c>
      <c r="C3725" s="70" t="s">
        <v>3341</v>
      </c>
      <c r="D3725" s="70" t="s">
        <v>3342</v>
      </c>
      <c r="E3725" s="70" t="s">
        <v>3343</v>
      </c>
      <c r="F3725" s="70" t="s">
        <v>3344</v>
      </c>
      <c r="G3725" s="70" t="s">
        <v>3345</v>
      </c>
      <c r="H3725" s="70" t="s">
        <v>1704</v>
      </c>
    </row>
    <row r="3726" spans="1:8" ht="17.25">
      <c r="B3726" s="1067" t="s">
        <v>1705</v>
      </c>
      <c r="C3726" s="60" t="s">
        <v>610</v>
      </c>
      <c r="D3726" s="43">
        <v>0.6</v>
      </c>
      <c r="E3726" s="57" t="s">
        <v>1707</v>
      </c>
      <c r="F3726" s="111">
        <f>'update Rate'!F5</f>
        <v>525</v>
      </c>
      <c r="G3726" s="111">
        <f>FLOOR(D3726*F3726,0.01)</f>
        <v>315</v>
      </c>
      <c r="H3726" s="112"/>
    </row>
    <row r="3727" spans="1:8" ht="17.25">
      <c r="B3727" s="1070"/>
      <c r="C3727" s="80" t="s">
        <v>1647</v>
      </c>
      <c r="D3727" s="45">
        <v>0.6</v>
      </c>
      <c r="E3727" s="58" t="s">
        <v>1707</v>
      </c>
      <c r="F3727" s="65">
        <f>'update Rate'!F4</f>
        <v>375</v>
      </c>
      <c r="G3727" s="65">
        <f>FLOOR(D3727*F3727,0.01)</f>
        <v>225</v>
      </c>
      <c r="H3727" s="127">
        <f>SUM(G3726+G3727)</f>
        <v>540</v>
      </c>
    </row>
    <row r="3728" spans="1:8" ht="15.75">
      <c r="B3728" s="68" t="s">
        <v>2330</v>
      </c>
      <c r="C3728" s="70" t="s">
        <v>1181</v>
      </c>
      <c r="D3728" s="945">
        <v>11</v>
      </c>
      <c r="E3728" s="68" t="s">
        <v>3170</v>
      </c>
      <c r="F3728" s="130">
        <f>'update Rate'!F172</f>
        <v>30</v>
      </c>
      <c r="G3728" s="127">
        <f>FLOOR(D3728*F3728,0.01)</f>
        <v>330</v>
      </c>
      <c r="H3728" s="127">
        <f>SUM(G3728)</f>
        <v>330</v>
      </c>
    </row>
    <row r="3729" spans="1:8" ht="16.5">
      <c r="F3729" s="42" t="s">
        <v>1708</v>
      </c>
      <c r="G3729" s="106"/>
      <c r="H3729" s="65">
        <f>SUM(H3726:H3728)</f>
        <v>870</v>
      </c>
    </row>
    <row r="3730" spans="1:8" ht="16.5">
      <c r="B3730" s="1" t="s">
        <v>1710</v>
      </c>
      <c r="F3730" s="42" t="s">
        <v>1688</v>
      </c>
      <c r="G3730" s="106"/>
      <c r="H3730" s="103">
        <f>FLOOR(H3729*0.15,0.01)</f>
        <v>130.5</v>
      </c>
    </row>
    <row r="3731" spans="1:8" ht="16.5">
      <c r="A3731"/>
      <c r="B3731" s="147">
        <f>+H3731</f>
        <v>1000.5</v>
      </c>
      <c r="C3731" s="28" t="s">
        <v>3384</v>
      </c>
      <c r="D3731" s="103">
        <f>INT(B3731/B3732*100)/100</f>
        <v>100.05</v>
      </c>
      <c r="E3731" s="1" t="s">
        <v>3385</v>
      </c>
      <c r="F3731" s="42" t="s">
        <v>1711</v>
      </c>
      <c r="G3731" s="106"/>
      <c r="H3731" s="103">
        <f>SUM(H3729:H3730)</f>
        <v>1000.5</v>
      </c>
    </row>
    <row r="3732" spans="1:8">
      <c r="A3732" s="28"/>
      <c r="B3732" s="121">
        <v>10</v>
      </c>
      <c r="H3732" s="19"/>
    </row>
    <row r="3733" spans="1:8">
      <c r="B3733" s="121"/>
    </row>
    <row r="3734" spans="1:8">
      <c r="B3734" s="121"/>
    </row>
    <row r="3735" spans="1:8" ht="19.5">
      <c r="A3735" s="282">
        <f>A3723+1</f>
        <v>235</v>
      </c>
      <c r="B3735" s="1076" t="s">
        <v>3115</v>
      </c>
      <c r="C3735" s="1077"/>
      <c r="D3735" s="1077"/>
      <c r="E3735" s="1077"/>
      <c r="F3735" s="1077"/>
      <c r="G3735" s="1077"/>
      <c r="H3735" s="1077"/>
    </row>
    <row r="3736" spans="1:8">
      <c r="A3736" s="1019" t="s">
        <v>4470</v>
      </c>
      <c r="B3736" s="1074" t="s">
        <v>1594</v>
      </c>
      <c r="C3736" s="1075"/>
      <c r="D3736" s="1075"/>
      <c r="E3736" s="1075"/>
      <c r="F3736" s="1075"/>
      <c r="G3736" s="1075"/>
      <c r="H3736" s="1075"/>
    </row>
    <row r="3737" spans="1:8" ht="31.5">
      <c r="B3737" s="70" t="s">
        <v>3340</v>
      </c>
      <c r="C3737" s="70" t="s">
        <v>3341</v>
      </c>
      <c r="D3737" s="70" t="s">
        <v>3342</v>
      </c>
      <c r="E3737" s="70" t="s">
        <v>3343</v>
      </c>
      <c r="F3737" s="70" t="s">
        <v>3344</v>
      </c>
      <c r="G3737" s="70" t="s">
        <v>3345</v>
      </c>
      <c r="H3737" s="70" t="s">
        <v>1704</v>
      </c>
    </row>
    <row r="3738" spans="1:8" ht="17.25">
      <c r="B3738" s="1067" t="s">
        <v>1705</v>
      </c>
      <c r="C3738" s="60" t="s">
        <v>610</v>
      </c>
      <c r="D3738" s="43">
        <v>1.1000000000000001</v>
      </c>
      <c r="E3738" s="57" t="s">
        <v>1707</v>
      </c>
      <c r="F3738" s="111">
        <f>'update Rate'!F5</f>
        <v>525</v>
      </c>
      <c r="G3738" s="111">
        <f t="shared" ref="G3738:G3743" si="78">FLOOR(D3738*F3738,0.01)</f>
        <v>577.5</v>
      </c>
      <c r="H3738" s="112"/>
    </row>
    <row r="3739" spans="1:8" ht="17.25">
      <c r="B3739" s="1070"/>
      <c r="C3739" s="80" t="s">
        <v>1647</v>
      </c>
      <c r="D3739" s="45">
        <v>3.5</v>
      </c>
      <c r="E3739" s="58" t="s">
        <v>1707</v>
      </c>
      <c r="F3739" s="65">
        <f>'update Rate'!F4</f>
        <v>375</v>
      </c>
      <c r="G3739" s="65">
        <f t="shared" si="78"/>
        <v>1312.5</v>
      </c>
      <c r="H3739" s="127">
        <f>SUM(G3738+G3739)</f>
        <v>1890</v>
      </c>
    </row>
    <row r="3740" spans="1:8" ht="17.25">
      <c r="B3740" s="1069" t="s">
        <v>2330</v>
      </c>
      <c r="C3740" s="57" t="s">
        <v>611</v>
      </c>
      <c r="D3740" s="43">
        <v>11</v>
      </c>
      <c r="E3740" s="57" t="s">
        <v>3170</v>
      </c>
      <c r="F3740" s="113">
        <f>'update Rate'!F173</f>
        <v>120</v>
      </c>
      <c r="G3740" s="114">
        <f t="shared" si="78"/>
        <v>1320</v>
      </c>
      <c r="H3740" s="112"/>
    </row>
    <row r="3741" spans="1:8" ht="17.25">
      <c r="B3741" s="1095"/>
      <c r="C3741" s="55" t="s">
        <v>3112</v>
      </c>
      <c r="D3741" s="44">
        <v>15</v>
      </c>
      <c r="E3741" s="55" t="s">
        <v>3096</v>
      </c>
      <c r="F3741" s="113">
        <f>'update Rate'!F164</f>
        <v>90</v>
      </c>
      <c r="G3741" s="113">
        <f t="shared" si="78"/>
        <v>1350</v>
      </c>
      <c r="H3741" s="137"/>
    </row>
    <row r="3742" spans="1:8" ht="17.25">
      <c r="B3742" s="1095"/>
      <c r="C3742" s="55" t="s">
        <v>3114</v>
      </c>
      <c r="D3742" s="44">
        <v>60</v>
      </c>
      <c r="E3742" s="55" t="s">
        <v>3096</v>
      </c>
      <c r="F3742" s="113">
        <f>'update Rate'!F171</f>
        <v>13</v>
      </c>
      <c r="G3742" s="113">
        <f t="shared" si="78"/>
        <v>780</v>
      </c>
      <c r="H3742" s="9"/>
    </row>
    <row r="3743" spans="1:8" ht="17.25">
      <c r="B3743" s="1070"/>
      <c r="C3743" s="58" t="s">
        <v>3113</v>
      </c>
      <c r="D3743" s="45">
        <v>0.31</v>
      </c>
      <c r="E3743" s="58" t="s">
        <v>2530</v>
      </c>
      <c r="F3743" s="65">
        <f>'update Rate'!F9</f>
        <v>1659.57</v>
      </c>
      <c r="G3743" s="65">
        <f t="shared" si="78"/>
        <v>514.46</v>
      </c>
      <c r="H3743" s="127">
        <f>SUM(G3740+G3741+G3742+G3743)</f>
        <v>3964.46</v>
      </c>
    </row>
    <row r="3744" spans="1:8" ht="15.75">
      <c r="F3744" s="42" t="s">
        <v>1708</v>
      </c>
      <c r="G3744" s="2"/>
      <c r="H3744" s="65">
        <f>SUM(H3743,H3739)</f>
        <v>5854.46</v>
      </c>
    </row>
    <row r="3745" spans="1:8" ht="15.75">
      <c r="B3745" s="1" t="s">
        <v>1710</v>
      </c>
      <c r="F3745" s="42" t="s">
        <v>1688</v>
      </c>
      <c r="G3745" s="2"/>
      <c r="H3745" s="103">
        <f>FLOOR(H3744*0.15,0.01)</f>
        <v>878.16</v>
      </c>
    </row>
    <row r="3746" spans="1:8" ht="15.75">
      <c r="A3746"/>
      <c r="B3746" s="147">
        <f>+H3746</f>
        <v>6732.62</v>
      </c>
      <c r="C3746" s="28" t="s">
        <v>3384</v>
      </c>
      <c r="D3746" s="103">
        <f>INT(B3746/B3747*100)/100</f>
        <v>673.26</v>
      </c>
      <c r="E3746" s="1" t="s">
        <v>3385</v>
      </c>
      <c r="F3746" s="42" t="s">
        <v>1711</v>
      </c>
      <c r="G3746" s="2"/>
      <c r="H3746" s="103">
        <f>SUM(H3744:H3745)</f>
        <v>6732.62</v>
      </c>
    </row>
    <row r="3747" spans="1:8" ht="16.5">
      <c r="A3747" s="28"/>
      <c r="B3747" s="121">
        <v>10</v>
      </c>
      <c r="F3747" s="42"/>
      <c r="G3747" s="106"/>
      <c r="H3747" s="19"/>
    </row>
    <row r="3748" spans="1:8" ht="16.5">
      <c r="A3748" s="28"/>
      <c r="B3748" s="121"/>
      <c r="F3748" s="42"/>
      <c r="G3748" s="106"/>
      <c r="H3748" s="19"/>
    </row>
    <row r="3749" spans="1:8" ht="16.5">
      <c r="A3749" s="28"/>
      <c r="B3749" s="121"/>
      <c r="F3749" s="42"/>
      <c r="G3749" s="106"/>
      <c r="H3749" s="19"/>
    </row>
    <row r="3750" spans="1:8">
      <c r="A3750" s="32"/>
    </row>
    <row r="3751" spans="1:8" ht="19.5">
      <c r="A3751" s="282">
        <f>+A3735+1</f>
        <v>236</v>
      </c>
      <c r="B3751" s="1076" t="s">
        <v>612</v>
      </c>
      <c r="C3751" s="1077"/>
      <c r="D3751" s="1077"/>
      <c r="E3751" s="1077"/>
      <c r="F3751" s="1077"/>
      <c r="G3751" s="1077"/>
      <c r="H3751" s="1077"/>
    </row>
    <row r="3752" spans="1:8">
      <c r="A3752" s="1019" t="s">
        <v>4470</v>
      </c>
      <c r="B3752" s="1074" t="s">
        <v>1594</v>
      </c>
      <c r="C3752" s="1075"/>
      <c r="D3752" s="1075"/>
      <c r="E3752" s="1075"/>
      <c r="F3752" s="1075"/>
      <c r="G3752" s="1075"/>
      <c r="H3752" s="1075"/>
    </row>
    <row r="3753" spans="1:8" ht="31.5">
      <c r="B3753" s="70" t="s">
        <v>3340</v>
      </c>
      <c r="C3753" s="70" t="s">
        <v>3341</v>
      </c>
      <c r="D3753" s="70" t="s">
        <v>3342</v>
      </c>
      <c r="E3753" s="70" t="s">
        <v>3343</v>
      </c>
      <c r="F3753" s="70" t="s">
        <v>3344</v>
      </c>
      <c r="G3753" s="70" t="s">
        <v>3345</v>
      </c>
      <c r="H3753" s="70" t="s">
        <v>1704</v>
      </c>
    </row>
    <row r="3754" spans="1:8" ht="17.25">
      <c r="B3754" s="1067" t="s">
        <v>1705</v>
      </c>
      <c r="C3754" s="60" t="s">
        <v>610</v>
      </c>
      <c r="D3754" s="43">
        <v>2.2999999999999998</v>
      </c>
      <c r="E3754" s="57" t="s">
        <v>1707</v>
      </c>
      <c r="F3754" s="111">
        <f>'update Rate'!F5</f>
        <v>525</v>
      </c>
      <c r="G3754" s="111">
        <f t="shared" ref="G3754:G3759" si="79">FLOOR(D3754*F3754,0.01)</f>
        <v>1207.5</v>
      </c>
      <c r="H3754" s="112"/>
    </row>
    <row r="3755" spans="1:8" ht="17.25">
      <c r="B3755" s="1070"/>
      <c r="C3755" s="80" t="s">
        <v>1647</v>
      </c>
      <c r="D3755" s="45">
        <v>4.5999999999999996</v>
      </c>
      <c r="E3755" s="58" t="s">
        <v>1707</v>
      </c>
      <c r="F3755" s="65">
        <f>'update Rate'!F4</f>
        <v>375</v>
      </c>
      <c r="G3755" s="65">
        <f t="shared" si="79"/>
        <v>1725</v>
      </c>
      <c r="H3755" s="127">
        <f>SUM(G3754+G3755)</f>
        <v>2932.5</v>
      </c>
    </row>
    <row r="3756" spans="1:8" ht="17.25">
      <c r="B3756" s="1069" t="s">
        <v>2330</v>
      </c>
      <c r="C3756" s="57" t="s">
        <v>611</v>
      </c>
      <c r="D3756" s="43">
        <v>22</v>
      </c>
      <c r="E3756" s="57" t="s">
        <v>3170</v>
      </c>
      <c r="F3756" s="113">
        <f>'update Rate'!F173</f>
        <v>120</v>
      </c>
      <c r="G3756" s="114">
        <f t="shared" si="79"/>
        <v>2640</v>
      </c>
      <c r="H3756" s="112"/>
    </row>
    <row r="3757" spans="1:8" ht="17.25">
      <c r="B3757" s="1095"/>
      <c r="C3757" s="55" t="s">
        <v>3112</v>
      </c>
      <c r="D3757" s="44">
        <v>25</v>
      </c>
      <c r="E3757" s="55" t="s">
        <v>3096</v>
      </c>
      <c r="F3757" s="113">
        <f>'update Rate'!F164</f>
        <v>90</v>
      </c>
      <c r="G3757" s="113">
        <f t="shared" si="79"/>
        <v>2250</v>
      </c>
      <c r="H3757" s="137"/>
    </row>
    <row r="3758" spans="1:8" ht="17.25">
      <c r="B3758" s="1095"/>
      <c r="C3758" s="55" t="s">
        <v>3114</v>
      </c>
      <c r="D3758" s="44">
        <v>80</v>
      </c>
      <c r="E3758" s="55" t="s">
        <v>3096</v>
      </c>
      <c r="F3758" s="113">
        <f>'update Rate'!F171</f>
        <v>13</v>
      </c>
      <c r="G3758" s="113">
        <f t="shared" si="79"/>
        <v>1040</v>
      </c>
      <c r="H3758" s="9"/>
    </row>
    <row r="3759" spans="1:8" ht="17.25">
      <c r="B3759" s="1070"/>
      <c r="C3759" s="58" t="s">
        <v>3113</v>
      </c>
      <c r="D3759" s="45">
        <v>0.31</v>
      </c>
      <c r="E3759" s="58" t="s">
        <v>2530</v>
      </c>
      <c r="F3759" s="65">
        <f>'update Rate'!F9</f>
        <v>1659.57</v>
      </c>
      <c r="G3759" s="65">
        <f t="shared" si="79"/>
        <v>514.46</v>
      </c>
      <c r="H3759" s="127">
        <f>SUM(G3756+G3757+G3758+G3759)</f>
        <v>6444.46</v>
      </c>
    </row>
    <row r="3760" spans="1:8" ht="15.75">
      <c r="F3760" s="42" t="s">
        <v>1708</v>
      </c>
      <c r="G3760" s="2"/>
      <c r="H3760" s="65">
        <f>SUM(H3759,H3755)</f>
        <v>9376.9599999999991</v>
      </c>
    </row>
    <row r="3761" spans="1:8" ht="15.75">
      <c r="B3761" s="1" t="s">
        <v>1710</v>
      </c>
      <c r="F3761" s="42" t="s">
        <v>1688</v>
      </c>
      <c r="G3761" s="2"/>
      <c r="H3761" s="65">
        <f>FLOOR((H3760*0.15*100)/100,0.01)</f>
        <v>1406.54</v>
      </c>
    </row>
    <row r="3762" spans="1:8" ht="15.75">
      <c r="A3762"/>
      <c r="B3762" s="147">
        <f>+H3762</f>
        <v>10783.5</v>
      </c>
      <c r="C3762" s="28" t="s">
        <v>3384</v>
      </c>
      <c r="D3762" s="103">
        <f>INT(B3762/B3763*100)/100</f>
        <v>1078.3499999999999</v>
      </c>
      <c r="E3762" s="1" t="s">
        <v>3385</v>
      </c>
      <c r="F3762" s="42" t="s">
        <v>1711</v>
      </c>
      <c r="G3762" s="2"/>
      <c r="H3762" s="103">
        <f>SUM(H3760:H3761)</f>
        <v>10783.5</v>
      </c>
    </row>
    <row r="3763" spans="1:8">
      <c r="B3763" s="121">
        <v>10</v>
      </c>
    </row>
    <row r="3764" spans="1:8">
      <c r="B3764" s="121"/>
    </row>
    <row r="3765" spans="1:8">
      <c r="B3765" s="121"/>
    </row>
    <row r="3766" spans="1:8">
      <c r="B3766" s="121"/>
    </row>
    <row r="3767" spans="1:8">
      <c r="B3767" s="121"/>
    </row>
    <row r="3768" spans="1:8" ht="19.5">
      <c r="A3768" s="282">
        <f>+A3751+1</f>
        <v>237</v>
      </c>
      <c r="B3768" s="1076" t="s">
        <v>613</v>
      </c>
      <c r="C3768" s="1077"/>
      <c r="D3768" s="1077"/>
      <c r="E3768" s="1077"/>
      <c r="F3768" s="1077"/>
      <c r="G3768" s="1077"/>
      <c r="H3768" s="1077"/>
    </row>
    <row r="3769" spans="1:8">
      <c r="A3769" s="1019" t="s">
        <v>4471</v>
      </c>
      <c r="B3769" s="1074" t="s">
        <v>1594</v>
      </c>
      <c r="C3769" s="1075"/>
      <c r="D3769" s="1075"/>
      <c r="E3769" s="1075"/>
      <c r="F3769" s="1075"/>
      <c r="G3769" s="1075"/>
      <c r="H3769" s="1075"/>
    </row>
    <row r="3770" spans="1:8" ht="31.5">
      <c r="B3770" s="70" t="s">
        <v>3340</v>
      </c>
      <c r="C3770" s="70" t="s">
        <v>3341</v>
      </c>
      <c r="D3770" s="70" t="s">
        <v>3342</v>
      </c>
      <c r="E3770" s="70" t="s">
        <v>3343</v>
      </c>
      <c r="F3770" s="70" t="s">
        <v>3344</v>
      </c>
      <c r="G3770" s="70" t="s">
        <v>3345</v>
      </c>
      <c r="H3770" s="70" t="s">
        <v>1704</v>
      </c>
    </row>
    <row r="3771" spans="1:8" ht="17.25">
      <c r="B3771" s="1067" t="s">
        <v>1705</v>
      </c>
      <c r="C3771" s="60" t="s">
        <v>610</v>
      </c>
      <c r="D3771" s="43">
        <v>2.35</v>
      </c>
      <c r="E3771" s="57" t="s">
        <v>1707</v>
      </c>
      <c r="F3771" s="111">
        <f>'update Rate'!F5</f>
        <v>525</v>
      </c>
      <c r="G3771" s="111">
        <f t="shared" ref="G3771:G3776" si="80">FLOOR(D3771*F3771,0.01)</f>
        <v>1233.75</v>
      </c>
      <c r="H3771" s="112"/>
    </row>
    <row r="3772" spans="1:8" ht="17.25">
      <c r="B3772" s="1070"/>
      <c r="C3772" s="80" t="s">
        <v>1647</v>
      </c>
      <c r="D3772" s="45">
        <v>4.5999999999999996</v>
      </c>
      <c r="E3772" s="58" t="s">
        <v>1707</v>
      </c>
      <c r="F3772" s="65">
        <f>'update Rate'!F4</f>
        <v>375</v>
      </c>
      <c r="G3772" s="65">
        <f t="shared" si="80"/>
        <v>1725</v>
      </c>
      <c r="H3772" s="127">
        <f>SUM(G3771+G3772)</f>
        <v>2958.75</v>
      </c>
    </row>
    <row r="3773" spans="1:8" ht="17.25">
      <c r="B3773" s="1069" t="s">
        <v>2330</v>
      </c>
      <c r="C3773" s="57" t="s">
        <v>611</v>
      </c>
      <c r="D3773" s="43">
        <v>11</v>
      </c>
      <c r="E3773" s="57" t="s">
        <v>3170</v>
      </c>
      <c r="F3773" s="113">
        <f>'update Rate'!F173</f>
        <v>120</v>
      </c>
      <c r="G3773" s="114">
        <f t="shared" si="80"/>
        <v>1320</v>
      </c>
      <c r="H3773" s="112"/>
    </row>
    <row r="3774" spans="1:8" ht="17.25">
      <c r="B3774" s="1095"/>
      <c r="C3774" s="55" t="s">
        <v>3112</v>
      </c>
      <c r="D3774" s="44">
        <v>17</v>
      </c>
      <c r="E3774" s="55" t="s">
        <v>3096</v>
      </c>
      <c r="F3774" s="113">
        <f>'update Rate'!F164</f>
        <v>90</v>
      </c>
      <c r="G3774" s="113">
        <f t="shared" si="80"/>
        <v>1530</v>
      </c>
      <c r="H3774" s="137"/>
    </row>
    <row r="3775" spans="1:8" ht="17.25">
      <c r="B3775" s="1095"/>
      <c r="C3775" s="55" t="s">
        <v>3114</v>
      </c>
      <c r="D3775" s="44">
        <v>60</v>
      </c>
      <c r="E3775" s="55" t="s">
        <v>3096</v>
      </c>
      <c r="F3775" s="113">
        <f>'update Rate'!F171</f>
        <v>13</v>
      </c>
      <c r="G3775" s="113">
        <f t="shared" si="80"/>
        <v>780</v>
      </c>
      <c r="H3775" s="9"/>
    </row>
    <row r="3776" spans="1:8" ht="17.25">
      <c r="B3776" s="1070"/>
      <c r="C3776" s="58" t="s">
        <v>3113</v>
      </c>
      <c r="D3776" s="45">
        <v>0.31</v>
      </c>
      <c r="E3776" s="58" t="s">
        <v>2530</v>
      </c>
      <c r="F3776" s="65">
        <f>'update Rate'!F9</f>
        <v>1659.57</v>
      </c>
      <c r="G3776" s="65">
        <f t="shared" si="80"/>
        <v>514.46</v>
      </c>
      <c r="H3776" s="127">
        <f>SUM(G3773+G3774+G3775+G3776)</f>
        <v>4144.46</v>
      </c>
    </row>
    <row r="3777" spans="1:8" ht="15.75">
      <c r="F3777" s="42" t="s">
        <v>1708</v>
      </c>
      <c r="G3777" s="2"/>
      <c r="H3777" s="65">
        <f>SUM(H3776,H3772)</f>
        <v>7103.21</v>
      </c>
    </row>
    <row r="3778" spans="1:8" ht="15.75">
      <c r="B3778" s="1" t="s">
        <v>1710</v>
      </c>
      <c r="F3778" s="42" t="s">
        <v>1688</v>
      </c>
      <c r="G3778" s="2"/>
      <c r="H3778" s="103">
        <f>FLOOR(H3777*0.15,0.01)</f>
        <v>1065.48</v>
      </c>
    </row>
    <row r="3779" spans="1:8" ht="15.75">
      <c r="A3779"/>
      <c r="B3779" s="147">
        <f>+H3779</f>
        <v>8168.6900000000005</v>
      </c>
      <c r="C3779" s="28" t="s">
        <v>3384</v>
      </c>
      <c r="D3779" s="103">
        <f>INT(B3779/B3780*100)/100</f>
        <v>816.86</v>
      </c>
      <c r="E3779" s="1" t="s">
        <v>3385</v>
      </c>
      <c r="F3779" s="42" t="s">
        <v>1711</v>
      </c>
      <c r="G3779" s="2"/>
      <c r="H3779" s="103">
        <f>SUM(H3777:H3778)</f>
        <v>8168.6900000000005</v>
      </c>
    </row>
    <row r="3780" spans="1:8">
      <c r="B3780" s="121">
        <v>10</v>
      </c>
    </row>
    <row r="3781" spans="1:8">
      <c r="A3781"/>
      <c r="B3781" s="110"/>
      <c r="C3781"/>
      <c r="D3781"/>
      <c r="E3781"/>
      <c r="F3781"/>
      <c r="G3781"/>
      <c r="H3781"/>
    </row>
    <row r="3782" spans="1:8">
      <c r="A3782" s="145">
        <f>A3768+1</f>
        <v>238</v>
      </c>
      <c r="B3782" s="1081" t="s">
        <v>3401</v>
      </c>
      <c r="C3782" s="1110"/>
      <c r="D3782" s="1110"/>
      <c r="E3782" s="1110"/>
      <c r="F3782" s="1110"/>
      <c r="G3782" s="1110"/>
      <c r="H3782" s="1110"/>
    </row>
    <row r="3783" spans="1:8">
      <c r="A3783" s="1019" t="s">
        <v>4472</v>
      </c>
      <c r="B3783" s="1081" t="s">
        <v>498</v>
      </c>
      <c r="C3783" s="1112"/>
      <c r="D3783" s="1112"/>
      <c r="E3783" s="1112"/>
      <c r="F3783" s="1112"/>
      <c r="G3783" s="1112"/>
      <c r="H3783" s="1112"/>
    </row>
    <row r="3784" spans="1:8">
      <c r="A3784" s="212"/>
      <c r="B3784" s="1081" t="s">
        <v>499</v>
      </c>
      <c r="C3784" s="1112"/>
      <c r="D3784" s="1112"/>
      <c r="E3784" s="1112"/>
      <c r="F3784" s="1112"/>
      <c r="G3784" s="1112"/>
      <c r="H3784" s="1112"/>
    </row>
    <row r="3785" spans="1:8">
      <c r="B3785" s="1083" t="s">
        <v>1604</v>
      </c>
      <c r="C3785" s="1083"/>
      <c r="D3785" s="1083"/>
      <c r="E3785" s="1083"/>
      <c r="F3785" s="1083"/>
      <c r="G3785" s="1083"/>
      <c r="H3785" s="1083"/>
    </row>
    <row r="3786" spans="1:8" ht="31.5">
      <c r="B3786" s="70" t="s">
        <v>3340</v>
      </c>
      <c r="C3786" s="70" t="s">
        <v>3341</v>
      </c>
      <c r="D3786" s="70" t="s">
        <v>3342</v>
      </c>
      <c r="E3786" s="70" t="s">
        <v>3343</v>
      </c>
      <c r="F3786" s="70" t="s">
        <v>3344</v>
      </c>
      <c r="G3786" s="70" t="s">
        <v>3345</v>
      </c>
      <c r="H3786" s="70" t="s">
        <v>1704</v>
      </c>
    </row>
    <row r="3787" spans="1:8" ht="31.5">
      <c r="B3787" s="60" t="s">
        <v>2330</v>
      </c>
      <c r="C3787" s="60" t="s">
        <v>500</v>
      </c>
      <c r="D3787" s="8"/>
      <c r="E3787" s="8"/>
      <c r="F3787" s="111"/>
      <c r="G3787" s="111"/>
      <c r="H3787" s="112"/>
    </row>
    <row r="3788" spans="1:8" ht="17.25">
      <c r="B3788" s="83" t="s">
        <v>424</v>
      </c>
      <c r="C3788" s="82" t="s">
        <v>1584</v>
      </c>
      <c r="D3788" s="44">
        <v>1</v>
      </c>
      <c r="E3788" s="55" t="s">
        <v>3170</v>
      </c>
      <c r="F3788" s="120">
        <f>'update Rate'!$F$218</f>
        <v>516.48</v>
      </c>
      <c r="G3788" s="113">
        <f>FLOOR(D3788*F3788,0.01)</f>
        <v>516.48</v>
      </c>
      <c r="H3788" s="9"/>
    </row>
    <row r="3789" spans="1:8" ht="12" customHeight="1">
      <c r="B3789" s="80"/>
      <c r="C3789" s="80"/>
      <c r="D3789" s="53"/>
      <c r="E3789" s="58"/>
      <c r="F3789" s="126"/>
      <c r="G3789" s="126"/>
      <c r="H3789" s="127">
        <f>SUM(G3788)</f>
        <v>516.48</v>
      </c>
    </row>
    <row r="3790" spans="1:8" ht="16.5">
      <c r="F3790" s="42" t="s">
        <v>1708</v>
      </c>
      <c r="G3790" s="106"/>
      <c r="H3790" s="65">
        <f>SUM(H3786:H3789)</f>
        <v>516.48</v>
      </c>
    </row>
    <row r="3791" spans="1:8" ht="16.5">
      <c r="B3791" s="1" t="s">
        <v>426</v>
      </c>
      <c r="F3791" s="42" t="s">
        <v>1688</v>
      </c>
      <c r="G3791" s="106"/>
      <c r="H3791" s="65">
        <f>FLOOR(H3790*0.15,0.01)</f>
        <v>77.47</v>
      </c>
    </row>
    <row r="3792" spans="1:8" ht="16.5">
      <c r="A3792" s="28" t="s">
        <v>3384</v>
      </c>
      <c r="B3792" s="103">
        <f>+H3792</f>
        <v>593.95000000000005</v>
      </c>
      <c r="C3792" s="1" t="s">
        <v>3385</v>
      </c>
      <c r="F3792" s="42" t="s">
        <v>1711</v>
      </c>
      <c r="G3792" s="106"/>
      <c r="H3792" s="103">
        <f>SUM(H3790:H3791)</f>
        <v>593.95000000000005</v>
      </c>
    </row>
    <row r="3793" spans="1:8" ht="16.5">
      <c r="A3793" s="28"/>
      <c r="B3793" s="151"/>
      <c r="F3793" s="42"/>
      <c r="G3793" s="106"/>
      <c r="H3793" s="151"/>
    </row>
    <row r="3794" spans="1:8" ht="16.5">
      <c r="A3794" s="28"/>
      <c r="B3794" s="151"/>
      <c r="F3794" s="42"/>
      <c r="G3794" s="106"/>
      <c r="H3794" s="151"/>
    </row>
    <row r="3795" spans="1:8" ht="16.5">
      <c r="A3795" s="28"/>
      <c r="B3795" s="151"/>
      <c r="F3795" s="42"/>
      <c r="G3795" s="106"/>
      <c r="H3795" s="151"/>
    </row>
    <row r="3796" spans="1:8">
      <c r="A3796" s="145">
        <f>A3782+1</f>
        <v>239</v>
      </c>
      <c r="B3796" s="1081" t="s">
        <v>3905</v>
      </c>
      <c r="C3796" s="1110"/>
      <c r="D3796" s="1110"/>
      <c r="E3796" s="1110"/>
      <c r="F3796" s="1110"/>
      <c r="G3796" s="1110"/>
      <c r="H3796" s="1110"/>
    </row>
    <row r="3797" spans="1:8">
      <c r="A3797" s="1019" t="s">
        <v>4472</v>
      </c>
      <c r="B3797" s="1081" t="s">
        <v>3906</v>
      </c>
      <c r="C3797" s="1112"/>
      <c r="D3797" s="1112"/>
      <c r="E3797" s="1112"/>
      <c r="F3797" s="1112"/>
      <c r="G3797" s="1112"/>
      <c r="H3797" s="1112"/>
    </row>
    <row r="3798" spans="1:8">
      <c r="A3798" s="212"/>
      <c r="B3798" s="1081"/>
      <c r="C3798" s="1112"/>
      <c r="D3798" s="1112"/>
      <c r="E3798" s="1112"/>
      <c r="F3798" s="1112"/>
      <c r="G3798" s="1112"/>
      <c r="H3798" s="1112"/>
    </row>
    <row r="3799" spans="1:8">
      <c r="B3799" s="1083" t="s">
        <v>1604</v>
      </c>
      <c r="C3799" s="1083"/>
      <c r="D3799" s="1083"/>
      <c r="E3799" s="1083"/>
      <c r="F3799" s="1083"/>
      <c r="G3799" s="1083"/>
      <c r="H3799" s="1083"/>
    </row>
    <row r="3800" spans="1:8" ht="31.5">
      <c r="B3800" s="70" t="s">
        <v>3340</v>
      </c>
      <c r="C3800" s="70" t="s">
        <v>3341</v>
      </c>
      <c r="D3800" s="70" t="s">
        <v>3342</v>
      </c>
      <c r="E3800" s="70" t="s">
        <v>3343</v>
      </c>
      <c r="F3800" s="70" t="s">
        <v>3344</v>
      </c>
      <c r="G3800" s="70" t="s">
        <v>3345</v>
      </c>
      <c r="H3800" s="70" t="s">
        <v>1704</v>
      </c>
    </row>
    <row r="3801" spans="1:8" ht="15.75">
      <c r="B3801" s="793" t="s">
        <v>2330</v>
      </c>
      <c r="C3801" s="793" t="s">
        <v>3907</v>
      </c>
      <c r="D3801" s="8"/>
      <c r="E3801" s="8"/>
      <c r="F3801" s="111"/>
      <c r="G3801" s="111"/>
      <c r="H3801" s="796"/>
    </row>
    <row r="3802" spans="1:8" ht="17.25">
      <c r="B3802" s="83" t="s">
        <v>424</v>
      </c>
      <c r="C3802" s="795" t="s">
        <v>1584</v>
      </c>
      <c r="D3802" s="44">
        <v>1</v>
      </c>
      <c r="E3802" s="55" t="s">
        <v>3170</v>
      </c>
      <c r="F3802" s="120">
        <f>'update Rate'!F358</f>
        <v>551.45000000000005</v>
      </c>
      <c r="G3802" s="113">
        <f>FLOOR(D3802*F3802,0.01)</f>
        <v>551.45000000000005</v>
      </c>
      <c r="H3802" s="9"/>
    </row>
    <row r="3803" spans="1:8" ht="17.25">
      <c r="B3803" s="794"/>
      <c r="C3803" s="794"/>
      <c r="D3803" s="53"/>
      <c r="E3803" s="58"/>
      <c r="F3803" s="126"/>
      <c r="G3803" s="126"/>
      <c r="H3803" s="797">
        <f>SUM(G3802)</f>
        <v>551.45000000000005</v>
      </c>
    </row>
    <row r="3804" spans="1:8" ht="16.5">
      <c r="F3804" s="42" t="s">
        <v>1708</v>
      </c>
      <c r="G3804" s="106"/>
      <c r="H3804" s="65">
        <f>SUM(H3800:H3803)</f>
        <v>551.45000000000005</v>
      </c>
    </row>
    <row r="3805" spans="1:8" ht="16.5">
      <c r="B3805" s="1" t="s">
        <v>426</v>
      </c>
      <c r="F3805" s="42" t="s">
        <v>1688</v>
      </c>
      <c r="G3805" s="106"/>
      <c r="H3805" s="65">
        <f>FLOOR(H3804*0.15,0.01)</f>
        <v>82.710000000000008</v>
      </c>
    </row>
    <row r="3806" spans="1:8" ht="16.5">
      <c r="A3806" s="28" t="s">
        <v>3384</v>
      </c>
      <c r="B3806" s="103">
        <f>+H3806</f>
        <v>634.16000000000008</v>
      </c>
      <c r="C3806" s="1" t="s">
        <v>3385</v>
      </c>
      <c r="F3806" s="42" t="s">
        <v>1711</v>
      </c>
      <c r="G3806" s="106"/>
      <c r="H3806" s="103">
        <f>SUM(H3804:H3805)</f>
        <v>634.16000000000008</v>
      </c>
    </row>
    <row r="3808" spans="1:8" ht="15.75" customHeight="1">
      <c r="A3808" s="145">
        <f>A3796+1</f>
        <v>240</v>
      </c>
      <c r="B3808" s="1081" t="s">
        <v>3897</v>
      </c>
      <c r="C3808" s="1110"/>
      <c r="D3808" s="1110"/>
      <c r="E3808" s="1110"/>
      <c r="F3808" s="1110"/>
      <c r="G3808" s="1110"/>
      <c r="H3808" s="1110"/>
    </row>
    <row r="3809" spans="1:8">
      <c r="A3809" s="1019"/>
      <c r="B3809" s="1083" t="s">
        <v>1604</v>
      </c>
      <c r="C3809" s="1083"/>
      <c r="D3809" s="1083"/>
      <c r="E3809" s="1083"/>
      <c r="F3809" s="1083"/>
      <c r="G3809" s="1083"/>
      <c r="H3809" s="1083"/>
    </row>
    <row r="3810" spans="1:8" ht="31.5">
      <c r="B3810" s="70" t="s">
        <v>3340</v>
      </c>
      <c r="C3810" s="70" t="s">
        <v>3341</v>
      </c>
      <c r="D3810" s="70" t="s">
        <v>3342</v>
      </c>
      <c r="E3810" s="70" t="s">
        <v>3343</v>
      </c>
      <c r="F3810" s="70" t="s">
        <v>3344</v>
      </c>
      <c r="G3810" s="70" t="s">
        <v>3345</v>
      </c>
      <c r="H3810" s="70" t="s">
        <v>1704</v>
      </c>
    </row>
    <row r="3811" spans="1:8" ht="15.75">
      <c r="B3811" s="793" t="s">
        <v>2330</v>
      </c>
      <c r="C3811" s="793" t="s">
        <v>3898</v>
      </c>
      <c r="D3811" s="8"/>
      <c r="E3811" s="8"/>
      <c r="F3811" s="111"/>
      <c r="G3811" s="111"/>
      <c r="H3811" s="796"/>
    </row>
    <row r="3812" spans="1:8" ht="17.25">
      <c r="B3812" s="83" t="s">
        <v>424</v>
      </c>
      <c r="C3812" s="795" t="s">
        <v>1584</v>
      </c>
      <c r="D3812" s="44">
        <v>1</v>
      </c>
      <c r="E3812" s="55" t="s">
        <v>3170</v>
      </c>
      <c r="F3812" s="120">
        <f>'update Rate'!F416</f>
        <v>376.59999999999997</v>
      </c>
      <c r="G3812" s="113">
        <f>FLOOR(D3812*F3812,0.01)</f>
        <v>376.6</v>
      </c>
      <c r="H3812" s="9"/>
    </row>
    <row r="3813" spans="1:8" ht="12" customHeight="1">
      <c r="B3813" s="794"/>
      <c r="C3813" s="794"/>
      <c r="D3813" s="53"/>
      <c r="E3813" s="58"/>
      <c r="F3813" s="126"/>
      <c r="G3813" s="126"/>
      <c r="H3813" s="797">
        <f>SUM(G3812)</f>
        <v>376.6</v>
      </c>
    </row>
    <row r="3814" spans="1:8" ht="16.5">
      <c r="F3814" s="42" t="s">
        <v>1708</v>
      </c>
      <c r="G3814" s="106"/>
      <c r="H3814" s="65">
        <f>SUM(H3810:H3813)</f>
        <v>376.6</v>
      </c>
    </row>
    <row r="3815" spans="1:8" ht="16.5">
      <c r="B3815" s="1" t="s">
        <v>426</v>
      </c>
      <c r="F3815" s="42" t="s">
        <v>1688</v>
      </c>
      <c r="G3815" s="106"/>
      <c r="H3815" s="65">
        <f>FLOOR(H3814*0.15,0.01)</f>
        <v>56.49</v>
      </c>
    </row>
    <row r="3816" spans="1:8" ht="16.5">
      <c r="A3816" s="28" t="s">
        <v>3384</v>
      </c>
      <c r="B3816" s="103">
        <f>+H3816</f>
        <v>433.09000000000003</v>
      </c>
      <c r="C3816" s="1" t="s">
        <v>3385</v>
      </c>
      <c r="F3816" s="42" t="s">
        <v>1711</v>
      </c>
      <c r="G3816" s="106"/>
      <c r="H3816" s="103">
        <f>SUM(H3814:H3815)</f>
        <v>433.09000000000003</v>
      </c>
    </row>
    <row r="3817" spans="1:8" ht="16.5">
      <c r="A3817" s="28"/>
      <c r="B3817" s="151"/>
      <c r="F3817" s="42"/>
      <c r="G3817" s="106"/>
      <c r="H3817" s="151"/>
    </row>
    <row r="3818" spans="1:8" ht="16.5">
      <c r="A3818" s="28"/>
      <c r="B3818" s="151"/>
      <c r="F3818" s="42"/>
      <c r="G3818" s="106"/>
      <c r="H3818" s="151"/>
    </row>
    <row r="3819" spans="1:8" ht="16.5">
      <c r="A3819" s="28"/>
      <c r="B3819" s="151"/>
      <c r="F3819" s="42"/>
      <c r="G3819" s="106"/>
      <c r="H3819" s="151"/>
    </row>
    <row r="3820" spans="1:8">
      <c r="A3820" s="145">
        <f>A3808+1</f>
        <v>241</v>
      </c>
      <c r="B3820" s="1081" t="s">
        <v>3899</v>
      </c>
      <c r="C3820" s="1110"/>
      <c r="D3820" s="1110"/>
      <c r="E3820" s="1110"/>
      <c r="F3820" s="1110"/>
      <c r="G3820" s="1110"/>
      <c r="H3820" s="1110"/>
    </row>
    <row r="3821" spans="1:8">
      <c r="A3821" s="15"/>
      <c r="B3821" s="1083" t="s">
        <v>1604</v>
      </c>
      <c r="C3821" s="1083"/>
      <c r="D3821" s="1083"/>
      <c r="E3821" s="1083"/>
      <c r="F3821" s="1083"/>
      <c r="G3821" s="1083"/>
      <c r="H3821" s="1083"/>
    </row>
    <row r="3822" spans="1:8" ht="31.5">
      <c r="B3822" s="70" t="s">
        <v>3340</v>
      </c>
      <c r="C3822" s="70" t="s">
        <v>3341</v>
      </c>
      <c r="D3822" s="70" t="s">
        <v>3342</v>
      </c>
      <c r="E3822" s="70" t="s">
        <v>3343</v>
      </c>
      <c r="F3822" s="70" t="s">
        <v>3344</v>
      </c>
      <c r="G3822" s="70" t="s">
        <v>3345</v>
      </c>
      <c r="H3822" s="70" t="s">
        <v>1704</v>
      </c>
    </row>
    <row r="3823" spans="1:8" ht="15.75">
      <c r="B3823" s="793" t="s">
        <v>2330</v>
      </c>
      <c r="C3823" s="793" t="s">
        <v>3898</v>
      </c>
      <c r="D3823" s="8"/>
      <c r="E3823" s="8"/>
      <c r="F3823" s="111"/>
      <c r="G3823" s="111"/>
      <c r="H3823" s="796"/>
    </row>
    <row r="3824" spans="1:8" ht="13.5" customHeight="1">
      <c r="B3824" s="83" t="s">
        <v>424</v>
      </c>
      <c r="C3824" s="795" t="s">
        <v>1584</v>
      </c>
      <c r="D3824" s="44">
        <v>1</v>
      </c>
      <c r="E3824" s="55" t="s">
        <v>3170</v>
      </c>
      <c r="F3824" s="120">
        <f>'update Rate'!F417</f>
        <v>473.44</v>
      </c>
      <c r="G3824" s="113">
        <f>FLOOR(D3824*F3824,0.01)</f>
        <v>473.44</v>
      </c>
      <c r="H3824" s="9"/>
    </row>
    <row r="3825" spans="1:8" ht="12.75" customHeight="1">
      <c r="B3825" s="794"/>
      <c r="C3825" s="794"/>
      <c r="D3825" s="53"/>
      <c r="E3825" s="58"/>
      <c r="F3825" s="126"/>
      <c r="G3825" s="126"/>
      <c r="H3825" s="797">
        <f>SUM(G3824)</f>
        <v>473.44</v>
      </c>
    </row>
    <row r="3826" spans="1:8" ht="16.5">
      <c r="F3826" s="42" t="s">
        <v>1708</v>
      </c>
      <c r="G3826" s="106"/>
      <c r="H3826" s="65">
        <f>SUM(H3822:H3825)</f>
        <v>473.44</v>
      </c>
    </row>
    <row r="3827" spans="1:8" ht="16.5">
      <c r="B3827" s="1" t="s">
        <v>426</v>
      </c>
      <c r="F3827" s="42" t="s">
        <v>1688</v>
      </c>
      <c r="G3827" s="106"/>
      <c r="H3827" s="65">
        <f>FLOOR(H3826*0.15,0.01)</f>
        <v>71.010000000000005</v>
      </c>
    </row>
    <row r="3828" spans="1:8" ht="16.5">
      <c r="A3828" s="28" t="s">
        <v>3384</v>
      </c>
      <c r="B3828" s="103">
        <f>+H3828</f>
        <v>544.45000000000005</v>
      </c>
      <c r="C3828" s="1" t="s">
        <v>3385</v>
      </c>
      <c r="F3828" s="42" t="s">
        <v>1711</v>
      </c>
      <c r="G3828" s="106"/>
      <c r="H3828" s="103">
        <f>SUM(H3826:H3827)</f>
        <v>544.45000000000005</v>
      </c>
    </row>
    <row r="3829" spans="1:8">
      <c r="A3829" s="33"/>
    </row>
    <row r="3830" spans="1:8">
      <c r="A3830" s="145">
        <f>A3820+1</f>
        <v>242</v>
      </c>
      <c r="B3830" s="1081" t="s">
        <v>3900</v>
      </c>
      <c r="C3830" s="1110"/>
      <c r="D3830" s="1110"/>
      <c r="E3830" s="1110"/>
      <c r="F3830" s="1110"/>
      <c r="G3830" s="1110"/>
      <c r="H3830" s="1110"/>
    </row>
    <row r="3831" spans="1:8">
      <c r="A3831" s="15"/>
      <c r="B3831" s="1083" t="s">
        <v>1604</v>
      </c>
      <c r="C3831" s="1083"/>
      <c r="D3831" s="1083"/>
      <c r="E3831" s="1083"/>
      <c r="F3831" s="1083"/>
      <c r="G3831" s="1083"/>
      <c r="H3831" s="1083"/>
    </row>
    <row r="3832" spans="1:8" ht="31.5">
      <c r="B3832" s="70" t="s">
        <v>3340</v>
      </c>
      <c r="C3832" s="70" t="s">
        <v>3341</v>
      </c>
      <c r="D3832" s="70" t="s">
        <v>3342</v>
      </c>
      <c r="E3832" s="70" t="s">
        <v>3343</v>
      </c>
      <c r="F3832" s="70" t="s">
        <v>3344</v>
      </c>
      <c r="G3832" s="70" t="s">
        <v>3345</v>
      </c>
      <c r="H3832" s="70" t="s">
        <v>1704</v>
      </c>
    </row>
    <row r="3833" spans="1:8" ht="15.75">
      <c r="B3833" s="793" t="s">
        <v>2330</v>
      </c>
      <c r="C3833" s="793" t="s">
        <v>3898</v>
      </c>
      <c r="D3833" s="8"/>
      <c r="E3833" s="8"/>
      <c r="F3833" s="111"/>
      <c r="G3833" s="111"/>
      <c r="H3833" s="796"/>
    </row>
    <row r="3834" spans="1:8" ht="17.25">
      <c r="B3834" s="83" t="s">
        <v>424</v>
      </c>
      <c r="C3834" s="795" t="s">
        <v>1584</v>
      </c>
      <c r="D3834" s="44">
        <v>1</v>
      </c>
      <c r="E3834" s="55" t="s">
        <v>3170</v>
      </c>
      <c r="F3834" s="120">
        <f>'update Rate'!F419</f>
        <v>559.52</v>
      </c>
      <c r="G3834" s="113">
        <f>FLOOR(D3834*F3834,0.01)</f>
        <v>559.52</v>
      </c>
      <c r="H3834" s="9"/>
    </row>
    <row r="3835" spans="1:8" ht="16.5" customHeight="1">
      <c r="B3835" s="794"/>
      <c r="C3835" s="794"/>
      <c r="D3835" s="53"/>
      <c r="E3835" s="58"/>
      <c r="F3835" s="126"/>
      <c r="G3835" s="126"/>
      <c r="H3835" s="797">
        <f>SUM(G3834)</f>
        <v>559.52</v>
      </c>
    </row>
    <row r="3836" spans="1:8" ht="16.5">
      <c r="F3836" s="42" t="s">
        <v>1708</v>
      </c>
      <c r="G3836" s="106"/>
      <c r="H3836" s="65">
        <f>SUM(H3832:H3835)</f>
        <v>559.52</v>
      </c>
    </row>
    <row r="3837" spans="1:8" ht="16.5">
      <c r="B3837" s="1" t="s">
        <v>426</v>
      </c>
      <c r="F3837" s="42" t="s">
        <v>1688</v>
      </c>
      <c r="G3837" s="106"/>
      <c r="H3837" s="65">
        <f>FLOOR(H3836*0.15,0.01)</f>
        <v>83.92</v>
      </c>
    </row>
    <row r="3838" spans="1:8" ht="16.5">
      <c r="A3838" s="28" t="s">
        <v>3384</v>
      </c>
      <c r="B3838" s="103">
        <f>+H3838</f>
        <v>643.43999999999994</v>
      </c>
      <c r="C3838" s="1" t="s">
        <v>3385</v>
      </c>
      <c r="F3838" s="42" t="s">
        <v>1711</v>
      </c>
      <c r="G3838" s="106"/>
      <c r="H3838" s="103">
        <f>SUM(H3836:H3837)</f>
        <v>643.43999999999994</v>
      </c>
    </row>
    <row r="3839" spans="1:8" ht="16.5">
      <c r="A3839" s="28"/>
      <c r="B3839" s="151"/>
      <c r="F3839" s="42"/>
      <c r="G3839" s="106"/>
      <c r="H3839" s="151"/>
    </row>
    <row r="3840" spans="1:8">
      <c r="A3840" s="33"/>
    </row>
    <row r="3841" spans="1:8">
      <c r="A3841" s="145">
        <f>A3830+1</f>
        <v>243</v>
      </c>
      <c r="B3841" s="1081" t="s">
        <v>3901</v>
      </c>
      <c r="C3841" s="1110"/>
      <c r="D3841" s="1110"/>
      <c r="E3841" s="1110"/>
      <c r="F3841" s="1110"/>
      <c r="G3841" s="1110"/>
      <c r="H3841" s="1110"/>
    </row>
    <row r="3842" spans="1:8">
      <c r="A3842" s="15"/>
      <c r="B3842" s="1083" t="s">
        <v>3902</v>
      </c>
      <c r="C3842" s="1083"/>
      <c r="D3842" s="1083"/>
      <c r="E3842" s="1083"/>
      <c r="F3842" s="1083"/>
      <c r="G3842" s="1083"/>
      <c r="H3842" s="1083"/>
    </row>
    <row r="3843" spans="1:8" ht="31.5">
      <c r="B3843" s="70" t="s">
        <v>3340</v>
      </c>
      <c r="C3843" s="70" t="s">
        <v>3341</v>
      </c>
      <c r="D3843" s="70" t="s">
        <v>3342</v>
      </c>
      <c r="E3843" s="70" t="s">
        <v>3343</v>
      </c>
      <c r="F3843" s="70" t="s">
        <v>3344</v>
      </c>
      <c r="G3843" s="70" t="s">
        <v>3345</v>
      </c>
      <c r="H3843" s="70" t="s">
        <v>1704</v>
      </c>
    </row>
    <row r="3844" spans="1:8" ht="15.75">
      <c r="B3844" s="793" t="s">
        <v>2330</v>
      </c>
      <c r="C3844" s="793" t="s">
        <v>3898</v>
      </c>
      <c r="D3844" s="8"/>
      <c r="E3844" s="8"/>
      <c r="F3844" s="111"/>
      <c r="G3844" s="111"/>
      <c r="H3844" s="796"/>
    </row>
    <row r="3845" spans="1:8" ht="12" customHeight="1">
      <c r="B3845" s="83" t="s">
        <v>424</v>
      </c>
      <c r="C3845" s="795" t="s">
        <v>1584</v>
      </c>
      <c r="D3845" s="44">
        <v>1</v>
      </c>
      <c r="E3845" s="55" t="s">
        <v>3903</v>
      </c>
      <c r="F3845" s="120">
        <f>'update Rate'!F420</f>
        <v>325</v>
      </c>
      <c r="G3845" s="113">
        <f>FLOOR(D3845*F3845,0.01)</f>
        <v>325</v>
      </c>
      <c r="H3845" s="9"/>
    </row>
    <row r="3846" spans="1:8" ht="17.25">
      <c r="B3846" s="794"/>
      <c r="C3846" s="794"/>
      <c r="D3846" s="53"/>
      <c r="E3846" s="58"/>
      <c r="F3846" s="126"/>
      <c r="G3846" s="126"/>
      <c r="H3846" s="797">
        <f>SUM(G3845)</f>
        <v>325</v>
      </c>
    </row>
    <row r="3847" spans="1:8" ht="16.5">
      <c r="F3847" s="42" t="s">
        <v>1708</v>
      </c>
      <c r="G3847" s="106"/>
      <c r="H3847" s="65">
        <f>SUM(H3843:H3846)</f>
        <v>325</v>
      </c>
    </row>
    <row r="3848" spans="1:8" ht="16.5">
      <c r="B3848" s="1" t="s">
        <v>3904</v>
      </c>
      <c r="F3848" s="42" t="s">
        <v>1688</v>
      </c>
      <c r="G3848" s="106"/>
      <c r="H3848" s="65">
        <f>FLOOR(H3847*0.15,0.01)</f>
        <v>48.75</v>
      </c>
    </row>
    <row r="3849" spans="1:8" ht="16.5">
      <c r="A3849" s="28" t="s">
        <v>3384</v>
      </c>
      <c r="B3849" s="103">
        <f>+H3849</f>
        <v>373.75</v>
      </c>
      <c r="C3849" s="1" t="s">
        <v>3385</v>
      </c>
      <c r="F3849" s="42" t="s">
        <v>1711</v>
      </c>
      <c r="G3849" s="106"/>
      <c r="H3849" s="103">
        <f>SUM(H3847:H3848)</f>
        <v>373.75</v>
      </c>
    </row>
    <row r="3850" spans="1:8">
      <c r="A3850" s="33"/>
    </row>
    <row r="3851" spans="1:8">
      <c r="A3851" s="33"/>
    </row>
    <row r="3852" spans="1:8">
      <c r="A3852" s="145">
        <f>A3841+1</f>
        <v>244</v>
      </c>
      <c r="B3852" s="1081" t="s">
        <v>3909</v>
      </c>
      <c r="C3852" s="1111"/>
      <c r="D3852" s="1111"/>
      <c r="E3852" s="1111"/>
      <c r="F3852" s="1111"/>
      <c r="G3852" s="1111"/>
      <c r="H3852" s="1111"/>
    </row>
    <row r="3853" spans="1:8">
      <c r="A3853" s="15"/>
      <c r="B3853" s="1081" t="s">
        <v>3911</v>
      </c>
      <c r="C3853" s="1112"/>
      <c r="D3853" s="1112"/>
      <c r="E3853" s="1112"/>
      <c r="F3853" s="1112"/>
      <c r="G3853" s="1112"/>
      <c r="H3853" s="1112"/>
    </row>
    <row r="3854" spans="1:8">
      <c r="A3854" s="212"/>
      <c r="B3854" s="1081" t="s">
        <v>3910</v>
      </c>
      <c r="C3854" s="1112"/>
      <c r="D3854" s="1112"/>
      <c r="E3854" s="1112"/>
      <c r="F3854" s="1112"/>
      <c r="G3854" s="1112"/>
      <c r="H3854" s="1112"/>
    </row>
    <row r="3855" spans="1:8" ht="16.5" customHeight="1">
      <c r="B3855" s="1083" t="s">
        <v>1604</v>
      </c>
      <c r="C3855" s="1083"/>
      <c r="D3855" s="1083"/>
      <c r="E3855" s="1083"/>
      <c r="F3855" s="1083"/>
      <c r="G3855" s="1083"/>
      <c r="H3855" s="1083"/>
    </row>
    <row r="3856" spans="1:8" ht="31.5">
      <c r="B3856" s="70" t="s">
        <v>3340</v>
      </c>
      <c r="C3856" s="70" t="s">
        <v>3341</v>
      </c>
      <c r="D3856" s="70" t="s">
        <v>3342</v>
      </c>
      <c r="E3856" s="70" t="s">
        <v>3343</v>
      </c>
      <c r="F3856" s="70" t="s">
        <v>3344</v>
      </c>
      <c r="G3856" s="70" t="s">
        <v>3345</v>
      </c>
      <c r="H3856" s="70" t="s">
        <v>1704</v>
      </c>
    </row>
    <row r="3857" spans="1:9" ht="15.75">
      <c r="B3857" s="793" t="s">
        <v>2330</v>
      </c>
      <c r="C3857" s="793" t="s">
        <v>3912</v>
      </c>
      <c r="D3857" s="8"/>
      <c r="E3857" s="8"/>
      <c r="F3857" s="111"/>
      <c r="G3857" s="111"/>
      <c r="H3857" s="796"/>
    </row>
    <row r="3858" spans="1:9" ht="17.25">
      <c r="B3858" s="83" t="s">
        <v>424</v>
      </c>
      <c r="C3858" s="795" t="s">
        <v>1584</v>
      </c>
      <c r="D3858" s="44">
        <v>1</v>
      </c>
      <c r="E3858" s="55" t="s">
        <v>3170</v>
      </c>
      <c r="F3858" s="120">
        <f>+'update Rate'!F362</f>
        <v>6199.2</v>
      </c>
      <c r="G3858" s="113">
        <f>FLOOR(D3858*F3858,0.01)</f>
        <v>6199.2</v>
      </c>
      <c r="H3858" s="9"/>
    </row>
    <row r="3859" spans="1:9" ht="12.75" customHeight="1">
      <c r="B3859" s="794"/>
      <c r="C3859" s="794"/>
      <c r="D3859" s="53"/>
      <c r="E3859" s="58"/>
      <c r="F3859" s="126"/>
      <c r="G3859" s="126"/>
      <c r="H3859" s="797">
        <f>SUM(G3858)</f>
        <v>6199.2</v>
      </c>
      <c r="I3859" s="803" t="s">
        <v>2104</v>
      </c>
    </row>
    <row r="3860" spans="1:9" ht="16.5">
      <c r="F3860" s="42" t="s">
        <v>1708</v>
      </c>
      <c r="G3860" s="106"/>
      <c r="H3860" s="65">
        <f>SUM(H3856:H3859)</f>
        <v>6199.2</v>
      </c>
    </row>
    <row r="3861" spans="1:9" ht="16.5">
      <c r="B3861" s="1" t="s">
        <v>426</v>
      </c>
      <c r="F3861" s="42" t="s">
        <v>1688</v>
      </c>
      <c r="G3861" s="106"/>
      <c r="H3861" s="65">
        <f>FLOOR(H3860*0.15,0.01)</f>
        <v>929.88</v>
      </c>
    </row>
    <row r="3862" spans="1:9" ht="16.5">
      <c r="A3862" s="28" t="s">
        <v>3384</v>
      </c>
      <c r="B3862" s="103">
        <f>+H3862</f>
        <v>7129.08</v>
      </c>
      <c r="C3862" s="1" t="s">
        <v>3385</v>
      </c>
      <c r="F3862" s="42" t="s">
        <v>1711</v>
      </c>
      <c r="G3862" s="106"/>
      <c r="H3862" s="103">
        <f>SUM(H3860:H3861)</f>
        <v>7129.08</v>
      </c>
    </row>
    <row r="3863" spans="1:9">
      <c r="A3863" s="33"/>
    </row>
    <row r="3864" spans="1:9" ht="19.5">
      <c r="A3864" s="32"/>
      <c r="B3864" s="1077" t="s">
        <v>2331</v>
      </c>
      <c r="C3864" s="1077"/>
      <c r="D3864" s="1077"/>
      <c r="E3864" s="1077"/>
      <c r="F3864" s="1077"/>
      <c r="G3864" s="1077"/>
      <c r="H3864" s="1077"/>
    </row>
    <row r="3865" spans="1:9" ht="19.5">
      <c r="A3865" s="282">
        <f>A3852+1</f>
        <v>245</v>
      </c>
      <c r="B3865" s="1076" t="s">
        <v>619</v>
      </c>
      <c r="C3865" s="1077"/>
      <c r="D3865" s="1077"/>
      <c r="E3865" s="1077"/>
      <c r="F3865" s="1077"/>
      <c r="G3865" s="1077"/>
      <c r="H3865" s="1077"/>
    </row>
    <row r="3866" spans="1:9">
      <c r="A3866" s="1019" t="s">
        <v>4473</v>
      </c>
      <c r="B3866" s="1074" t="s">
        <v>1683</v>
      </c>
      <c r="C3866" s="1075"/>
      <c r="D3866" s="1075"/>
      <c r="E3866" s="1075"/>
      <c r="F3866" s="1075"/>
      <c r="G3866" s="1075"/>
      <c r="H3866" s="1075"/>
    </row>
    <row r="3867" spans="1:9" ht="31.5">
      <c r="B3867" s="70" t="s">
        <v>3340</v>
      </c>
      <c r="C3867" s="70" t="s">
        <v>3341</v>
      </c>
      <c r="D3867" s="70" t="s">
        <v>3342</v>
      </c>
      <c r="E3867" s="70" t="s">
        <v>3343</v>
      </c>
      <c r="F3867" s="70" t="s">
        <v>3344</v>
      </c>
      <c r="G3867" s="70" t="s">
        <v>3345</v>
      </c>
      <c r="H3867" s="70" t="s">
        <v>1704</v>
      </c>
    </row>
    <row r="3868" spans="1:9" ht="17.25">
      <c r="B3868" s="60" t="s">
        <v>614</v>
      </c>
      <c r="C3868" s="60" t="s">
        <v>615</v>
      </c>
      <c r="D3868" s="43">
        <v>1.06</v>
      </c>
      <c r="E3868" s="57" t="s">
        <v>1643</v>
      </c>
      <c r="F3868" s="167">
        <f>'update Rate'!F4</f>
        <v>375</v>
      </c>
      <c r="G3868" s="113">
        <f>FLOOR(D3868*F3868,0.01)</f>
        <v>397.5</v>
      </c>
      <c r="H3868" s="168">
        <f>SUM(G3868)</f>
        <v>397.5</v>
      </c>
    </row>
    <row r="3869" spans="1:9" ht="17.25">
      <c r="B3869" s="80"/>
      <c r="C3869" s="80"/>
      <c r="D3869" s="45"/>
      <c r="E3869" s="58"/>
      <c r="F3869" s="126"/>
      <c r="G3869" s="126"/>
      <c r="H3869" s="127"/>
    </row>
    <row r="3870" spans="1:9" ht="16.5">
      <c r="F3870" s="42" t="s">
        <v>1708</v>
      </c>
      <c r="G3870" s="106"/>
      <c r="H3870" s="65">
        <f>SUM(H3867:H3869)</f>
        <v>397.5</v>
      </c>
    </row>
    <row r="3871" spans="1:9" ht="16.5">
      <c r="B3871" s="1" t="s">
        <v>3658</v>
      </c>
      <c r="F3871" s="42" t="s">
        <v>1688</v>
      </c>
      <c r="G3871" s="106"/>
      <c r="H3871" s="103">
        <f>FLOOR(H3870*0.15,0.01)</f>
        <v>59.620000000000005</v>
      </c>
    </row>
    <row r="3872" spans="1:9" ht="16.5">
      <c r="A3872" s="28" t="s">
        <v>3384</v>
      </c>
      <c r="B3872" s="103">
        <f>+H3872</f>
        <v>457.12</v>
      </c>
      <c r="C3872" s="1" t="s">
        <v>3385</v>
      </c>
      <c r="F3872" s="42" t="s">
        <v>1711</v>
      </c>
      <c r="G3872" s="106"/>
      <c r="H3872" s="103">
        <f>SUM(H3870:H3871)</f>
        <v>457.12</v>
      </c>
    </row>
    <row r="3875" spans="1:8" ht="19.5">
      <c r="A3875" s="282">
        <f>+A3865+1</f>
        <v>246</v>
      </c>
      <c r="B3875" s="1077" t="s">
        <v>659</v>
      </c>
      <c r="C3875" s="1077"/>
      <c r="D3875" s="1077"/>
      <c r="E3875" s="1077"/>
      <c r="F3875" s="1077"/>
      <c r="G3875" s="1077"/>
      <c r="H3875" s="1077"/>
    </row>
    <row r="3876" spans="1:8">
      <c r="A3876" s="1019" t="s">
        <v>4474</v>
      </c>
      <c r="B3876" s="1074" t="s">
        <v>1683</v>
      </c>
      <c r="C3876" s="1075"/>
      <c r="D3876" s="1075"/>
      <c r="E3876" s="1075"/>
      <c r="F3876" s="1075"/>
      <c r="G3876" s="1075"/>
      <c r="H3876" s="1075"/>
    </row>
    <row r="3877" spans="1:8" ht="31.5">
      <c r="B3877" s="70" t="s">
        <v>3340</v>
      </c>
      <c r="C3877" s="70" t="s">
        <v>3341</v>
      </c>
      <c r="D3877" s="70" t="s">
        <v>3342</v>
      </c>
      <c r="E3877" s="70" t="s">
        <v>3343</v>
      </c>
      <c r="F3877" s="70" t="s">
        <v>3344</v>
      </c>
      <c r="G3877" s="70" t="s">
        <v>3345</v>
      </c>
      <c r="H3877" s="70" t="s">
        <v>1704</v>
      </c>
    </row>
    <row r="3878" spans="1:8" ht="17.25">
      <c r="B3878" s="60" t="s">
        <v>614</v>
      </c>
      <c r="C3878" s="60" t="s">
        <v>615</v>
      </c>
      <c r="D3878" s="43">
        <v>2.12</v>
      </c>
      <c r="E3878" s="57" t="s">
        <v>1643</v>
      </c>
      <c r="F3878" s="167">
        <f>'update Rate'!F4</f>
        <v>375</v>
      </c>
      <c r="G3878" s="113">
        <f>FLOOR(D3878*F3878,0.01)</f>
        <v>795</v>
      </c>
      <c r="H3878" s="168">
        <f>SUM(G3878)</f>
        <v>795</v>
      </c>
    </row>
    <row r="3879" spans="1:8" ht="17.25">
      <c r="B3879" s="80"/>
      <c r="C3879" s="80"/>
      <c r="D3879" s="45"/>
      <c r="E3879" s="58"/>
      <c r="F3879" s="126"/>
      <c r="G3879" s="126"/>
      <c r="H3879" s="127"/>
    </row>
    <row r="3880" spans="1:8" ht="16.5">
      <c r="F3880" s="42" t="s">
        <v>1708</v>
      </c>
      <c r="G3880" s="106"/>
      <c r="H3880" s="65">
        <f>SUM(H3877:H3879)</f>
        <v>795</v>
      </c>
    </row>
    <row r="3881" spans="1:8" ht="16.5">
      <c r="B3881" s="1" t="s">
        <v>3658</v>
      </c>
      <c r="F3881" s="42" t="s">
        <v>1688</v>
      </c>
      <c r="G3881" s="106"/>
      <c r="H3881" s="103">
        <f>FLOOR(H3880*0.15,0.01)</f>
        <v>119.25</v>
      </c>
    </row>
    <row r="3882" spans="1:8" ht="16.5">
      <c r="A3882" s="28" t="s">
        <v>3384</v>
      </c>
      <c r="B3882" s="103">
        <f>+H3882</f>
        <v>914.25</v>
      </c>
      <c r="C3882" s="1" t="s">
        <v>3385</v>
      </c>
      <c r="F3882" s="42" t="s">
        <v>1711</v>
      </c>
      <c r="G3882" s="106"/>
      <c r="H3882" s="103">
        <f>SUM(H3880:H3881)</f>
        <v>914.25</v>
      </c>
    </row>
    <row r="3885" spans="1:8" ht="19.5">
      <c r="A3885" s="32"/>
      <c r="B3885" s="1077" t="s">
        <v>2332</v>
      </c>
      <c r="C3885" s="1077"/>
      <c r="D3885" s="1077"/>
      <c r="E3885" s="1077"/>
      <c r="F3885" s="1077"/>
      <c r="G3885" s="1077"/>
      <c r="H3885" s="1077"/>
    </row>
    <row r="3886" spans="1:8" ht="19.5">
      <c r="A3886" s="282">
        <f>+A3875+1</f>
        <v>247</v>
      </c>
      <c r="B3886" s="1076" t="s">
        <v>966</v>
      </c>
      <c r="C3886" s="1077"/>
      <c r="D3886" s="1077"/>
      <c r="E3886" s="1077"/>
      <c r="F3886" s="1077"/>
      <c r="G3886" s="1077"/>
      <c r="H3886" s="1077"/>
    </row>
    <row r="3887" spans="1:8">
      <c r="A3887" s="1019" t="s">
        <v>4475</v>
      </c>
      <c r="B3887" s="1074" t="s">
        <v>1683</v>
      </c>
      <c r="C3887" s="1075"/>
      <c r="D3887" s="1075"/>
      <c r="E3887" s="1075"/>
      <c r="F3887" s="1075"/>
      <c r="G3887" s="1075"/>
      <c r="H3887" s="1075"/>
    </row>
    <row r="3888" spans="1:8" ht="31.5">
      <c r="B3888" s="70" t="s">
        <v>3340</v>
      </c>
      <c r="C3888" s="70" t="s">
        <v>3341</v>
      </c>
      <c r="D3888" s="70" t="s">
        <v>3342</v>
      </c>
      <c r="E3888" s="70" t="s">
        <v>3343</v>
      </c>
      <c r="F3888" s="70" t="s">
        <v>3344</v>
      </c>
      <c r="G3888" s="70" t="s">
        <v>3345</v>
      </c>
      <c r="H3888" s="70" t="s">
        <v>1704</v>
      </c>
    </row>
    <row r="3889" spans="1:8" ht="17.25">
      <c r="B3889" s="60" t="s">
        <v>614</v>
      </c>
      <c r="C3889" s="60" t="s">
        <v>615</v>
      </c>
      <c r="D3889" s="43">
        <v>11</v>
      </c>
      <c r="E3889" s="57" t="s">
        <v>1643</v>
      </c>
      <c r="F3889" s="167">
        <f>'update Rate'!F4</f>
        <v>375</v>
      </c>
      <c r="G3889" s="113">
        <f>FLOOR(D3889*F3889,0.01)</f>
        <v>4125</v>
      </c>
      <c r="H3889" s="168">
        <f>SUM(G3889)</f>
        <v>4125</v>
      </c>
    </row>
    <row r="3890" spans="1:8" ht="17.25">
      <c r="B3890" s="80"/>
      <c r="C3890" s="80"/>
      <c r="D3890" s="45"/>
      <c r="E3890" s="58"/>
      <c r="F3890" s="126"/>
      <c r="G3890" s="126"/>
      <c r="H3890" s="127"/>
    </row>
    <row r="3891" spans="1:8" ht="16.5">
      <c r="F3891" s="42" t="s">
        <v>1708</v>
      </c>
      <c r="G3891" s="106"/>
      <c r="H3891" s="65">
        <f>SUM(H3888:H3890)</f>
        <v>4125</v>
      </c>
    </row>
    <row r="3892" spans="1:8" ht="16.5">
      <c r="B3892" s="1" t="s">
        <v>3658</v>
      </c>
      <c r="F3892" s="42" t="s">
        <v>1688</v>
      </c>
      <c r="G3892" s="106"/>
      <c r="H3892" s="103">
        <f>FLOOR(H3891*0.15,0.01)</f>
        <v>618.75</v>
      </c>
    </row>
    <row r="3893" spans="1:8" ht="16.5">
      <c r="A3893" s="28" t="s">
        <v>3384</v>
      </c>
      <c r="B3893" s="103">
        <f>+H3893</f>
        <v>4743.75</v>
      </c>
      <c r="C3893" s="1" t="s">
        <v>3385</v>
      </c>
      <c r="F3893" s="42" t="s">
        <v>1711</v>
      </c>
      <c r="G3893" s="106"/>
      <c r="H3893" s="103">
        <f>SUM(H3891:H3892)</f>
        <v>4743.75</v>
      </c>
    </row>
    <row r="3897" spans="1:8" ht="19.5">
      <c r="A3897" s="32"/>
      <c r="B3897" s="1077" t="s">
        <v>2333</v>
      </c>
      <c r="C3897" s="1077"/>
      <c r="D3897" s="1077"/>
      <c r="E3897" s="1077"/>
      <c r="F3897" s="1077"/>
      <c r="G3897" s="1077"/>
      <c r="H3897" s="1077"/>
    </row>
    <row r="3898" spans="1:8" ht="19.5">
      <c r="A3898" s="282">
        <f>+A3886+1</f>
        <v>248</v>
      </c>
      <c r="B3898" s="1076" t="s">
        <v>1221</v>
      </c>
      <c r="C3898" s="1077"/>
      <c r="D3898" s="1077"/>
      <c r="E3898" s="1077"/>
      <c r="F3898" s="1077"/>
      <c r="G3898" s="1077"/>
      <c r="H3898" s="1077"/>
    </row>
    <row r="3899" spans="1:8">
      <c r="A3899" s="1019" t="s">
        <v>4476</v>
      </c>
      <c r="B3899" s="1074" t="s">
        <v>1683</v>
      </c>
      <c r="C3899" s="1075"/>
      <c r="D3899" s="1075"/>
      <c r="E3899" s="1075"/>
      <c r="F3899" s="1075"/>
      <c r="G3899" s="1075"/>
      <c r="H3899" s="1075"/>
    </row>
    <row r="3900" spans="1:8" ht="31.5">
      <c r="B3900" s="70" t="s">
        <v>3340</v>
      </c>
      <c r="C3900" s="70" t="s">
        <v>3341</v>
      </c>
      <c r="D3900" s="70" t="s">
        <v>3342</v>
      </c>
      <c r="E3900" s="70" t="s">
        <v>3343</v>
      </c>
      <c r="F3900" s="70" t="s">
        <v>3344</v>
      </c>
      <c r="G3900" s="70" t="s">
        <v>3345</v>
      </c>
      <c r="H3900" s="70" t="s">
        <v>1704</v>
      </c>
    </row>
    <row r="3901" spans="1:8" ht="17.25">
      <c r="B3901" s="60" t="s">
        <v>614</v>
      </c>
      <c r="C3901" s="60" t="s">
        <v>615</v>
      </c>
      <c r="D3901" s="946">
        <v>4</v>
      </c>
      <c r="E3901" s="57" t="s">
        <v>1643</v>
      </c>
      <c r="F3901" s="167">
        <f>'update Rate'!F4</f>
        <v>375</v>
      </c>
      <c r="G3901" s="113">
        <f>FLOOR(D3901*F3901,0.01)</f>
        <v>1500</v>
      </c>
      <c r="H3901" s="168">
        <f>SUM(G3901)</f>
        <v>1500</v>
      </c>
    </row>
    <row r="3902" spans="1:8" ht="17.25">
      <c r="B3902" s="80"/>
      <c r="C3902" s="80"/>
      <c r="D3902" s="45"/>
      <c r="E3902" s="58"/>
      <c r="F3902" s="126"/>
      <c r="G3902" s="126"/>
      <c r="H3902" s="127"/>
    </row>
    <row r="3903" spans="1:8" ht="16.5">
      <c r="F3903" s="42" t="s">
        <v>1708</v>
      </c>
      <c r="G3903" s="106"/>
      <c r="H3903" s="65">
        <f>SUM(H3900:H3902)</f>
        <v>1500</v>
      </c>
    </row>
    <row r="3904" spans="1:8" ht="16.5">
      <c r="B3904" s="1" t="s">
        <v>3658</v>
      </c>
      <c r="F3904" s="42" t="s">
        <v>1688</v>
      </c>
      <c r="G3904" s="106"/>
      <c r="H3904" s="103">
        <f>FLOOR(H3903*0.15,0.01)</f>
        <v>225</v>
      </c>
    </row>
    <row r="3905" spans="1:8" ht="16.5">
      <c r="A3905" s="28" t="s">
        <v>3384</v>
      </c>
      <c r="B3905" s="103">
        <f>+H3905</f>
        <v>1725</v>
      </c>
      <c r="C3905" s="1" t="s">
        <v>3385</v>
      </c>
      <c r="F3905" s="42" t="s">
        <v>1711</v>
      </c>
      <c r="G3905" s="106"/>
      <c r="H3905" s="103">
        <f>SUM(H3903:H3904)</f>
        <v>1725</v>
      </c>
    </row>
    <row r="3906" spans="1:8">
      <c r="A3906" s="28"/>
      <c r="B3906" s="121"/>
      <c r="H3906" s="19"/>
    </row>
    <row r="3907" spans="1:8">
      <c r="A3907" s="28"/>
      <c r="B3907" s="121"/>
      <c r="H3907" s="19"/>
    </row>
    <row r="3908" spans="1:8">
      <c r="A3908" s="28"/>
      <c r="B3908" s="121"/>
      <c r="H3908" s="19"/>
    </row>
    <row r="3909" spans="1:8" ht="19.5">
      <c r="A3909" s="282">
        <f>A3898+1</f>
        <v>249</v>
      </c>
      <c r="B3909" s="1076" t="s">
        <v>1642</v>
      </c>
      <c r="C3909" s="1077"/>
      <c r="D3909" s="1077"/>
      <c r="E3909" s="1077"/>
      <c r="F3909" s="1077"/>
      <c r="G3909" s="1077"/>
      <c r="H3909" s="1077"/>
    </row>
    <row r="3910" spans="1:8">
      <c r="A3910" s="1019" t="s">
        <v>4477</v>
      </c>
      <c r="B3910" s="1074" t="s">
        <v>428</v>
      </c>
      <c r="C3910" s="1075"/>
      <c r="D3910" s="1075"/>
      <c r="E3910" s="1075"/>
      <c r="F3910" s="1075"/>
      <c r="G3910" s="1075"/>
      <c r="H3910" s="1075"/>
    </row>
    <row r="3911" spans="1:8" ht="31.5">
      <c r="B3911" s="70" t="s">
        <v>3340</v>
      </c>
      <c r="C3911" s="70" t="s">
        <v>3341</v>
      </c>
      <c r="D3911" s="70" t="s">
        <v>3342</v>
      </c>
      <c r="E3911" s="70" t="s">
        <v>3343</v>
      </c>
      <c r="F3911" s="70" t="s">
        <v>3344</v>
      </c>
      <c r="G3911" s="70" t="s">
        <v>3345</v>
      </c>
      <c r="H3911" s="70" t="s">
        <v>1704</v>
      </c>
    </row>
    <row r="3912" spans="1:8" ht="17.25">
      <c r="B3912" s="60" t="s">
        <v>614</v>
      </c>
      <c r="C3912" s="60" t="s">
        <v>615</v>
      </c>
      <c r="D3912" s="48">
        <v>0.108</v>
      </c>
      <c r="E3912" s="57" t="s">
        <v>1643</v>
      </c>
      <c r="F3912" s="111">
        <f>'update Rate'!F4</f>
        <v>375</v>
      </c>
      <c r="G3912" s="113">
        <f>FLOOR(D3912*F3912,0.01)</f>
        <v>40.5</v>
      </c>
      <c r="H3912" s="125">
        <f>SUM(G3912)</f>
        <v>40.5</v>
      </c>
    </row>
    <row r="3913" spans="1:8" ht="17.25">
      <c r="B3913" s="80"/>
      <c r="C3913" s="80"/>
      <c r="D3913" s="51"/>
      <c r="E3913" s="58"/>
      <c r="F3913" s="126"/>
      <c r="G3913" s="126"/>
      <c r="H3913" s="127"/>
    </row>
    <row r="3914" spans="1:8" ht="16.5">
      <c r="F3914" s="42" t="s">
        <v>1708</v>
      </c>
      <c r="G3914" s="106"/>
      <c r="H3914" s="65">
        <f>SUM(H3911:H3913)</f>
        <v>40.5</v>
      </c>
    </row>
    <row r="3915" spans="1:8" ht="16.5">
      <c r="B3915" s="1" t="s">
        <v>1710</v>
      </c>
      <c r="F3915" s="42" t="s">
        <v>1688</v>
      </c>
      <c r="G3915" s="106"/>
      <c r="H3915" s="103">
        <f>FLOOR(H3914*0.15,0.01)</f>
        <v>6.07</v>
      </c>
    </row>
    <row r="3916" spans="1:8" ht="16.5">
      <c r="A3916" s="28" t="s">
        <v>3384</v>
      </c>
      <c r="B3916" s="103">
        <f>+H3916</f>
        <v>46.57</v>
      </c>
      <c r="C3916" s="1" t="s">
        <v>3385</v>
      </c>
      <c r="F3916" s="42" t="s">
        <v>1711</v>
      </c>
      <c r="G3916" s="106"/>
      <c r="H3916" s="103">
        <f>SUM(H3914:H3915)</f>
        <v>46.57</v>
      </c>
    </row>
    <row r="3917" spans="1:8">
      <c r="A3917" s="28"/>
      <c r="B3917" s="33"/>
      <c r="H3917" s="134"/>
    </row>
    <row r="3918" spans="1:8" ht="15.75" customHeight="1">
      <c r="A3918" s="28"/>
      <c r="B3918" s="33"/>
      <c r="H3918" s="134"/>
    </row>
    <row r="3919" spans="1:8" ht="19.5" outlineLevel="1">
      <c r="A3919" s="32"/>
      <c r="B3919" s="1077" t="s">
        <v>617</v>
      </c>
      <c r="C3919" s="1077"/>
      <c r="D3919" s="1077"/>
      <c r="E3919" s="1077"/>
      <c r="F3919" s="1077"/>
      <c r="G3919" s="1077"/>
      <c r="H3919" s="1077"/>
    </row>
    <row r="3920" spans="1:8" ht="19.5" outlineLevel="1">
      <c r="A3920" s="282">
        <f>+A3909+1</f>
        <v>250</v>
      </c>
      <c r="B3920" s="1071" t="s">
        <v>618</v>
      </c>
      <c r="C3920" s="1072"/>
      <c r="D3920" s="1072"/>
      <c r="E3920" s="1072"/>
      <c r="F3920" s="1072"/>
      <c r="G3920" s="1072"/>
      <c r="H3920" s="1072"/>
    </row>
    <row r="3921" spans="1:8" outlineLevel="1">
      <c r="A3921" s="1019" t="s">
        <v>4478</v>
      </c>
      <c r="B3921" s="1074" t="s">
        <v>428</v>
      </c>
      <c r="C3921" s="1075"/>
      <c r="D3921" s="1075"/>
      <c r="E3921" s="1075"/>
      <c r="F3921" s="1075"/>
      <c r="G3921" s="1075"/>
      <c r="H3921" s="1075"/>
    </row>
    <row r="3922" spans="1:8" ht="31.5" outlineLevel="1">
      <c r="B3922" s="70" t="s">
        <v>3340</v>
      </c>
      <c r="C3922" s="70" t="s">
        <v>3341</v>
      </c>
      <c r="D3922" s="70" t="s">
        <v>3342</v>
      </c>
      <c r="E3922" s="70" t="s">
        <v>3343</v>
      </c>
      <c r="F3922" s="70" t="s">
        <v>3344</v>
      </c>
      <c r="G3922" s="70" t="s">
        <v>3345</v>
      </c>
      <c r="H3922" s="70" t="s">
        <v>1704</v>
      </c>
    </row>
    <row r="3923" spans="1:8" ht="17.25" outlineLevel="1">
      <c r="B3923" s="1067" t="s">
        <v>614</v>
      </c>
      <c r="C3923" s="60" t="s">
        <v>790</v>
      </c>
      <c r="D3923" s="48">
        <v>5.3999999999999999E-2</v>
      </c>
      <c r="E3923" s="57" t="s">
        <v>1643</v>
      </c>
      <c r="F3923" s="111">
        <f>'update Rate'!F5</f>
        <v>525</v>
      </c>
      <c r="G3923" s="113">
        <f>FLOOR(D3923*F3923,0.01)</f>
        <v>28.35</v>
      </c>
      <c r="H3923" s="125"/>
    </row>
    <row r="3924" spans="1:8" ht="17.25" outlineLevel="1">
      <c r="B3924" s="1068"/>
      <c r="C3924" s="80" t="s">
        <v>615</v>
      </c>
      <c r="D3924" s="51">
        <v>8.1000000000000003E-2</v>
      </c>
      <c r="E3924" s="58" t="s">
        <v>1643</v>
      </c>
      <c r="F3924" s="126">
        <f>'update Rate'!F4</f>
        <v>375</v>
      </c>
      <c r="G3924" s="65">
        <f>FLOOR(D3924*F3924,0.01)</f>
        <v>30.37</v>
      </c>
      <c r="H3924" s="127">
        <f>SUM(G3923+G3924)</f>
        <v>58.72</v>
      </c>
    </row>
    <row r="3925" spans="1:8" ht="16.5" outlineLevel="1">
      <c r="F3925" s="42" t="s">
        <v>1708</v>
      </c>
      <c r="G3925" s="106"/>
      <c r="H3925" s="65">
        <f>SUM(H3922:H3924)</f>
        <v>58.72</v>
      </c>
    </row>
    <row r="3926" spans="1:8" ht="16.5" outlineLevel="1">
      <c r="B3926" s="1" t="s">
        <v>1710</v>
      </c>
      <c r="F3926" s="42" t="s">
        <v>1688</v>
      </c>
      <c r="G3926" s="106"/>
      <c r="H3926" s="103">
        <f>FLOOR(H3925*0.15,0.01)</f>
        <v>8.8000000000000007</v>
      </c>
    </row>
    <row r="3927" spans="1:8" ht="16.5" outlineLevel="1">
      <c r="A3927" s="28" t="s">
        <v>3384</v>
      </c>
      <c r="B3927" s="103">
        <f>+H3927</f>
        <v>67.52</v>
      </c>
      <c r="C3927" s="1" t="s">
        <v>3385</v>
      </c>
      <c r="F3927" s="42" t="s">
        <v>1711</v>
      </c>
      <c r="G3927" s="106"/>
      <c r="H3927" s="103">
        <f>SUM(H3925:H3926)</f>
        <v>67.52</v>
      </c>
    </row>
    <row r="3928" spans="1:8" ht="16.5" outlineLevel="1">
      <c r="A3928" s="28"/>
      <c r="B3928" s="151"/>
      <c r="F3928" s="42"/>
      <c r="G3928" s="106"/>
      <c r="H3928" s="151"/>
    </row>
    <row r="3929" spans="1:8" ht="16.5" outlineLevel="1">
      <c r="A3929" s="28"/>
      <c r="B3929" s="151"/>
      <c r="F3929" s="42"/>
      <c r="G3929" s="106"/>
      <c r="H3929" s="151"/>
    </row>
    <row r="3930" spans="1:8" outlineLevel="1">
      <c r="A3930" s="595"/>
      <c r="B3930" s="121"/>
      <c r="H3930" s="19"/>
    </row>
    <row r="3931" spans="1:8" ht="19.5" outlineLevel="1">
      <c r="A3931" s="282">
        <f>A3920+1</f>
        <v>251</v>
      </c>
      <c r="B3931" s="1076" t="s">
        <v>788</v>
      </c>
      <c r="C3931" s="1077"/>
      <c r="D3931" s="1077"/>
      <c r="E3931" s="1077"/>
      <c r="F3931" s="1077"/>
      <c r="G3931" s="1077"/>
      <c r="H3931" s="1077"/>
    </row>
    <row r="3932" spans="1:8" ht="19.5" outlineLevel="1">
      <c r="A3932" s="1019" t="s">
        <v>4480</v>
      </c>
      <c r="B3932" s="1076" t="s">
        <v>789</v>
      </c>
      <c r="C3932" s="1077"/>
      <c r="D3932" s="1077"/>
      <c r="E3932" s="1077"/>
      <c r="F3932" s="1077"/>
      <c r="G3932" s="1077"/>
      <c r="H3932" s="1077"/>
    </row>
    <row r="3933" spans="1:8" outlineLevel="1">
      <c r="A3933" s="92"/>
      <c r="B3933" s="1075" t="s">
        <v>1683</v>
      </c>
      <c r="C3933" s="1075"/>
      <c r="D3933" s="1075"/>
      <c r="E3933" s="1075"/>
      <c r="F3933" s="1075"/>
      <c r="G3933" s="1075"/>
      <c r="H3933" s="1075"/>
    </row>
    <row r="3934" spans="1:8" ht="31.5" outlineLevel="1">
      <c r="B3934" s="70" t="s">
        <v>3340</v>
      </c>
      <c r="C3934" s="70" t="s">
        <v>3341</v>
      </c>
      <c r="D3934" s="70" t="s">
        <v>3342</v>
      </c>
      <c r="E3934" s="70" t="s">
        <v>3343</v>
      </c>
      <c r="F3934" s="70" t="s">
        <v>3344</v>
      </c>
      <c r="G3934" s="70" t="s">
        <v>3345</v>
      </c>
      <c r="H3934" s="70" t="s">
        <v>1704</v>
      </c>
    </row>
    <row r="3935" spans="1:8" ht="17.25" outlineLevel="1">
      <c r="B3935" s="1067" t="s">
        <v>614</v>
      </c>
      <c r="C3935" s="60" t="s">
        <v>790</v>
      </c>
      <c r="D3935" s="43">
        <v>3.53</v>
      </c>
      <c r="E3935" s="57" t="s">
        <v>1707</v>
      </c>
      <c r="F3935" s="111">
        <f>'update Rate'!F5</f>
        <v>525</v>
      </c>
      <c r="G3935" s="111">
        <f>FLOOR(D3935*F3935,0.01)</f>
        <v>1853.25</v>
      </c>
      <c r="H3935" s="112"/>
    </row>
    <row r="3936" spans="1:8" ht="17.25" outlineLevel="1">
      <c r="B3936" s="1068"/>
      <c r="C3936" s="80" t="s">
        <v>615</v>
      </c>
      <c r="D3936" s="45">
        <v>7.06</v>
      </c>
      <c r="E3936" s="58"/>
      <c r="F3936" s="65">
        <f>'update Rate'!F4</f>
        <v>375</v>
      </c>
      <c r="G3936" s="65">
        <f>FLOOR(D3936*F3936,0.01)</f>
        <v>2647.5</v>
      </c>
      <c r="H3936" s="127">
        <f>SUM(G3935+G3936)</f>
        <v>4500.75</v>
      </c>
    </row>
    <row r="3937" spans="1:11" ht="17.25" outlineLevel="1">
      <c r="B3937" s="1067" t="s">
        <v>2330</v>
      </c>
      <c r="C3937" s="82" t="s">
        <v>791</v>
      </c>
      <c r="D3937" s="44">
        <v>560</v>
      </c>
      <c r="E3937" s="55" t="s">
        <v>803</v>
      </c>
      <c r="F3937" s="120">
        <f>'update Rate'!F10</f>
        <v>7.5</v>
      </c>
      <c r="G3937" s="114">
        <f>FLOOR(D3937*F3937,0.01)</f>
        <v>4200</v>
      </c>
      <c r="H3937" s="112"/>
    </row>
    <row r="3938" spans="1:11" ht="17.25" outlineLevel="1">
      <c r="B3938" s="1096"/>
      <c r="C3938" s="82" t="s">
        <v>1650</v>
      </c>
      <c r="D3938" s="54">
        <v>8.4000000000000005E-2</v>
      </c>
      <c r="E3938" s="55" t="s">
        <v>804</v>
      </c>
      <c r="F3938" s="120">
        <f>'update Rate'!F15</f>
        <v>14200</v>
      </c>
      <c r="G3938" s="113">
        <f>FLOOR(D3938*F3938,0.01)</f>
        <v>1192.8</v>
      </c>
      <c r="H3938" s="137"/>
    </row>
    <row r="3939" spans="1:11" ht="17.25" outlineLevel="1">
      <c r="B3939" s="1068"/>
      <c r="C3939" s="80" t="s">
        <v>1640</v>
      </c>
      <c r="D3939" s="45">
        <v>0.36</v>
      </c>
      <c r="E3939" s="58" t="s">
        <v>2530</v>
      </c>
      <c r="F3939" s="126">
        <f>'update Rate'!F8</f>
        <v>1659.57</v>
      </c>
      <c r="G3939" s="65">
        <f>FLOOR(D3939*F3939,0.01)</f>
        <v>597.44000000000005</v>
      </c>
      <c r="H3939" s="127">
        <f>SUM(G3937+G3938+G3939)</f>
        <v>5990.24</v>
      </c>
    </row>
    <row r="3940" spans="1:11" ht="16.5">
      <c r="F3940" s="42" t="s">
        <v>1708</v>
      </c>
      <c r="G3940" s="106"/>
      <c r="H3940" s="65">
        <f>SUM(H3936:H3939)</f>
        <v>10490.99</v>
      </c>
    </row>
    <row r="3941" spans="1:11" ht="16.5">
      <c r="B3941" s="1" t="s">
        <v>3658</v>
      </c>
      <c r="F3941" s="42" t="s">
        <v>1688</v>
      </c>
      <c r="G3941" s="106"/>
      <c r="H3941" s="103">
        <f>FLOOR(H3940*0.15,0.01)</f>
        <v>1573.64</v>
      </c>
    </row>
    <row r="3942" spans="1:11" ht="16.5">
      <c r="A3942" s="28" t="s">
        <v>3384</v>
      </c>
      <c r="B3942" s="103">
        <f>+H3942</f>
        <v>12064.63</v>
      </c>
      <c r="C3942" s="1" t="s">
        <v>3385</v>
      </c>
      <c r="F3942" s="42" t="s">
        <v>1711</v>
      </c>
      <c r="G3942" s="106"/>
      <c r="H3942" s="103">
        <f>SUM(H3940:H3941)</f>
        <v>12064.63</v>
      </c>
    </row>
    <row r="3943" spans="1:11" ht="16.5">
      <c r="A3943" s="222"/>
      <c r="B3943" s="151"/>
      <c r="F3943" s="42"/>
      <c r="G3943" s="106"/>
      <c r="H3943" s="151"/>
    </row>
    <row r="3944" spans="1:11" ht="16.5">
      <c r="A3944" s="222"/>
      <c r="B3944" s="151"/>
      <c r="F3944" s="42"/>
      <c r="G3944" s="106"/>
      <c r="H3944" s="151"/>
    </row>
    <row r="3945" spans="1:11" ht="16.5">
      <c r="A3945" s="222"/>
      <c r="B3945" s="151"/>
      <c r="F3945" s="42"/>
      <c r="G3945" s="106"/>
      <c r="H3945" s="151"/>
    </row>
    <row r="3946" spans="1:11" ht="16.5">
      <c r="A3946" s="222"/>
      <c r="B3946" s="151"/>
      <c r="F3946" s="42"/>
      <c r="G3946" s="106"/>
      <c r="H3946" s="151"/>
    </row>
    <row r="3947" spans="1:11" ht="19.5">
      <c r="A3947" s="220"/>
      <c r="B3947" s="1089" t="s">
        <v>2320</v>
      </c>
      <c r="C3947" s="1089"/>
      <c r="D3947" s="1089"/>
      <c r="E3947" s="1089"/>
      <c r="F3947" s="1089"/>
      <c r="G3947" s="1089"/>
      <c r="H3947" s="1089"/>
    </row>
    <row r="3948" spans="1:11" ht="19.5">
      <c r="A3948" s="145">
        <f>A3931+1</f>
        <v>252</v>
      </c>
      <c r="B3948" s="1089" t="s">
        <v>2321</v>
      </c>
      <c r="C3948" s="1089"/>
      <c r="D3948" s="1089"/>
      <c r="E3948" s="1089"/>
      <c r="F3948" s="1089"/>
      <c r="G3948" s="1089"/>
      <c r="H3948" s="1089"/>
    </row>
    <row r="3949" spans="1:11">
      <c r="A3949" s="1019" t="s">
        <v>4479</v>
      </c>
      <c r="B3949" s="1180" t="s">
        <v>3129</v>
      </c>
      <c r="C3949" s="1181"/>
      <c r="D3949" s="1181"/>
      <c r="E3949" s="1181"/>
      <c r="F3949" s="1181"/>
      <c r="G3949" s="1181"/>
      <c r="H3949" s="1181"/>
    </row>
    <row r="3950" spans="1:11">
      <c r="B3950" s="1092" t="s">
        <v>2773</v>
      </c>
      <c r="C3950" s="1092"/>
      <c r="D3950" s="1092"/>
      <c r="E3950" s="1092"/>
      <c r="F3950" s="1092"/>
      <c r="G3950" s="1092"/>
      <c r="H3950" s="1092"/>
    </row>
    <row r="3951" spans="1:11" ht="46.5" customHeight="1">
      <c r="B3951" s="70" t="s">
        <v>3340</v>
      </c>
      <c r="C3951" s="70" t="s">
        <v>3341</v>
      </c>
      <c r="D3951" s="70" t="s">
        <v>3342</v>
      </c>
      <c r="E3951" s="70" t="s">
        <v>3343</v>
      </c>
      <c r="F3951" s="70" t="s">
        <v>3344</v>
      </c>
      <c r="G3951" s="70" t="s">
        <v>3345</v>
      </c>
      <c r="H3951" s="70" t="s">
        <v>1704</v>
      </c>
    </row>
    <row r="3952" spans="1:11" ht="15.75">
      <c r="B3952" s="60" t="s">
        <v>1705</v>
      </c>
      <c r="C3952" s="1069" t="s">
        <v>615</v>
      </c>
      <c r="D3952" s="1178">
        <f>13.5/4</f>
        <v>3.375</v>
      </c>
      <c r="E3952" s="1069" t="s">
        <v>1707</v>
      </c>
      <c r="F3952" s="237"/>
      <c r="G3952" s="237"/>
      <c r="H3952" s="237"/>
      <c r="K3952" s="188">
        <f>13.5/4</f>
        <v>3.375</v>
      </c>
    </row>
    <row r="3953" spans="1:8" ht="15.75">
      <c r="B3953" s="64"/>
      <c r="C3953" s="1073"/>
      <c r="D3953" s="1179"/>
      <c r="E3953" s="1070"/>
      <c r="F3953" s="65">
        <f>'update Rate'!F4</f>
        <v>375</v>
      </c>
      <c r="G3953" s="238">
        <f>INT(13.5*1/4*F3953*100)/100</f>
        <v>1265.6199999999999</v>
      </c>
      <c r="H3953" s="238">
        <f>+G3953</f>
        <v>1265.6199999999999</v>
      </c>
    </row>
    <row r="3954" spans="1:8" ht="15.75">
      <c r="B3954" s="1069" t="s">
        <v>2330</v>
      </c>
      <c r="C3954" s="60" t="s">
        <v>3130</v>
      </c>
      <c r="D3954" s="239">
        <v>0.185</v>
      </c>
      <c r="E3954" s="78" t="s">
        <v>3096</v>
      </c>
      <c r="F3954" s="240">
        <f>'update Rate'!F137</f>
        <v>115</v>
      </c>
      <c r="G3954" s="240">
        <f>INT(0.37/2*F3954*100)/100</f>
        <v>21.27</v>
      </c>
      <c r="H3954" s="9"/>
    </row>
    <row r="3955" spans="1:8" ht="15.75">
      <c r="B3955" s="1073"/>
      <c r="C3955" s="80" t="s">
        <v>3131</v>
      </c>
      <c r="D3955" s="67" t="s">
        <v>3171</v>
      </c>
      <c r="E3955" s="203" t="s">
        <v>3173</v>
      </c>
      <c r="F3955" s="238"/>
      <c r="G3955" s="238">
        <v>58.26</v>
      </c>
      <c r="H3955" s="238">
        <f>SUM(G3954:G3955)</f>
        <v>79.53</v>
      </c>
    </row>
    <row r="3956" spans="1:8" ht="15.75">
      <c r="F3956" s="42" t="s">
        <v>1708</v>
      </c>
      <c r="G3956" s="42"/>
      <c r="H3956" s="238">
        <f>SUM(H3953:H3955)</f>
        <v>1345.1499999999999</v>
      </c>
    </row>
    <row r="3957" spans="1:8" ht="15.75">
      <c r="B3957" s="1" t="s">
        <v>3132</v>
      </c>
      <c r="F3957" s="42" t="s">
        <v>1689</v>
      </c>
      <c r="G3957" s="42"/>
      <c r="H3957" s="238">
        <f>FLOOR(H3956*0.15,0.01)</f>
        <v>201.77</v>
      </c>
    </row>
    <row r="3958" spans="1:8" ht="15.75">
      <c r="B3958" s="147">
        <f>+H3958</f>
        <v>1546.9199999999998</v>
      </c>
      <c r="C3958" s="233" t="s">
        <v>3384</v>
      </c>
      <c r="D3958" s="103">
        <f>FLOOR(B3958/B3959,0.01)</f>
        <v>154.69</v>
      </c>
      <c r="E3958" s="1" t="s">
        <v>3385</v>
      </c>
      <c r="F3958" s="42" t="s">
        <v>1711</v>
      </c>
      <c r="G3958" s="42"/>
      <c r="H3958" s="238">
        <f>SUM(H3956:H3957)</f>
        <v>1546.9199999999998</v>
      </c>
    </row>
    <row r="3959" spans="1:8" ht="16.5">
      <c r="B3959" s="235">
        <v>10</v>
      </c>
    </row>
    <row r="3960" spans="1:8" ht="16.5">
      <c r="B3960" s="236"/>
    </row>
    <row r="3961" spans="1:8">
      <c r="A3961" s="145">
        <f>+A3948+1</f>
        <v>253</v>
      </c>
    </row>
    <row r="3962" spans="1:8" ht="19.5">
      <c r="A3962" s="1019" t="s">
        <v>4481</v>
      </c>
      <c r="B3962" s="1089" t="s">
        <v>3133</v>
      </c>
      <c r="C3962" s="1089"/>
      <c r="D3962" s="1089"/>
      <c r="E3962" s="1089"/>
      <c r="F3962" s="1089"/>
      <c r="G3962" s="1089"/>
      <c r="H3962" s="1089"/>
    </row>
    <row r="3963" spans="1:8">
      <c r="B3963" s="1092" t="s">
        <v>2773</v>
      </c>
      <c r="C3963" s="1092"/>
      <c r="D3963" s="1092"/>
      <c r="E3963" s="1092"/>
      <c r="F3963" s="1092"/>
      <c r="G3963" s="1092"/>
      <c r="H3963" s="1092"/>
    </row>
    <row r="3964" spans="1:8" ht="31.5">
      <c r="B3964" s="70" t="s">
        <v>3340</v>
      </c>
      <c r="C3964" s="70" t="s">
        <v>3341</v>
      </c>
      <c r="D3964" s="70" t="s">
        <v>3342</v>
      </c>
      <c r="E3964" s="70" t="s">
        <v>3343</v>
      </c>
      <c r="F3964" s="70" t="s">
        <v>3344</v>
      </c>
      <c r="G3964" s="70" t="s">
        <v>3345</v>
      </c>
      <c r="H3964" s="70" t="s">
        <v>1704</v>
      </c>
    </row>
    <row r="3965" spans="1:8" ht="15.75">
      <c r="B3965" s="60" t="s">
        <v>1705</v>
      </c>
      <c r="C3965" s="1069" t="s">
        <v>615</v>
      </c>
      <c r="D3965" s="1018"/>
      <c r="E3965" s="1069" t="s">
        <v>1707</v>
      </c>
      <c r="F3965" s="237"/>
      <c r="G3965" s="237"/>
      <c r="H3965" s="237"/>
    </row>
    <row r="3966" spans="1:8" ht="15.75">
      <c r="B3966" s="64"/>
      <c r="C3966" s="1070"/>
      <c r="D3966" s="1033">
        <f>0.75/2</f>
        <v>0.375</v>
      </c>
      <c r="E3966" s="1070"/>
      <c r="F3966" s="238">
        <f>$F$3953</f>
        <v>375</v>
      </c>
      <c r="G3966" s="238">
        <f>INT(0.75*1/2*F3966*100)/100</f>
        <v>140.62</v>
      </c>
      <c r="H3966" s="238">
        <f>+G3966</f>
        <v>140.62</v>
      </c>
    </row>
    <row r="3967" spans="1:8" ht="15.75">
      <c r="B3967" s="76" t="s">
        <v>2330</v>
      </c>
      <c r="C3967" s="57" t="s">
        <v>3002</v>
      </c>
      <c r="D3967" s="57" t="s">
        <v>3171</v>
      </c>
      <c r="E3967" s="57" t="s">
        <v>3173</v>
      </c>
      <c r="F3967" s="57" t="s">
        <v>3173</v>
      </c>
      <c r="G3967" s="804">
        <v>110</v>
      </c>
      <c r="H3967" s="761"/>
    </row>
    <row r="3968" spans="1:8" ht="15.75">
      <c r="B3968" s="64"/>
      <c r="C3968" s="58" t="s">
        <v>2325</v>
      </c>
      <c r="D3968" s="58" t="s">
        <v>3171</v>
      </c>
      <c r="E3968" s="58" t="s">
        <v>3173</v>
      </c>
      <c r="F3968" s="58" t="s">
        <v>3173</v>
      </c>
      <c r="G3968" s="238">
        <v>110</v>
      </c>
      <c r="H3968" s="238">
        <f>SUM(G3967:G3968)</f>
        <v>220</v>
      </c>
    </row>
    <row r="3969" spans="1:8" ht="15.75">
      <c r="F3969" s="42" t="s">
        <v>1708</v>
      </c>
      <c r="G3969" s="42"/>
      <c r="H3969" s="238">
        <f>SUM(H3966:H3968)</f>
        <v>360.62</v>
      </c>
    </row>
    <row r="3970" spans="1:8" ht="15.75">
      <c r="B3970" s="1" t="s">
        <v>1710</v>
      </c>
      <c r="F3970" s="42" t="s">
        <v>1689</v>
      </c>
      <c r="G3970" s="42"/>
      <c r="H3970" s="238">
        <f>FLOOR(H3969*0.15,0.01)</f>
        <v>54.09</v>
      </c>
    </row>
    <row r="3971" spans="1:8" ht="15.75">
      <c r="B3971" s="147">
        <f>+H3971</f>
        <v>414.71000000000004</v>
      </c>
      <c r="C3971" s="233" t="s">
        <v>3384</v>
      </c>
      <c r="D3971" s="103">
        <f>FLOOR(B3971/B3972,0.01)</f>
        <v>41.47</v>
      </c>
      <c r="E3971" s="1" t="s">
        <v>3385</v>
      </c>
      <c r="F3971" s="42" t="s">
        <v>1711</v>
      </c>
      <c r="G3971" s="42"/>
      <c r="H3971" s="238">
        <f>SUM(H3969:H3970)</f>
        <v>414.71000000000004</v>
      </c>
    </row>
    <row r="3972" spans="1:8">
      <c r="B3972" s="241">
        <v>10</v>
      </c>
    </row>
    <row r="3973" spans="1:8">
      <c r="B3973" s="242"/>
    </row>
    <row r="3974" spans="1:8">
      <c r="B3974" s="242"/>
    </row>
    <row r="3975" spans="1:8" ht="19.5">
      <c r="A3975" s="145">
        <f>+A3961+1</f>
        <v>254</v>
      </c>
      <c r="B3975" s="1089" t="s">
        <v>3134</v>
      </c>
      <c r="C3975" s="1089"/>
      <c r="D3975" s="1089"/>
      <c r="E3975" s="1089"/>
      <c r="F3975" s="1089"/>
      <c r="G3975" s="1089"/>
      <c r="H3975" s="1089"/>
    </row>
    <row r="3976" spans="1:8" ht="19.5">
      <c r="A3976" s="1019" t="s">
        <v>4482</v>
      </c>
      <c r="B3976" s="1076" t="s">
        <v>3135</v>
      </c>
      <c r="C3976" s="1089"/>
      <c r="D3976" s="1089"/>
      <c r="E3976" s="1089"/>
      <c r="F3976" s="1089"/>
      <c r="G3976" s="1089"/>
      <c r="H3976" s="1089"/>
    </row>
    <row r="3977" spans="1:8">
      <c r="B3977" s="1092" t="s">
        <v>2773</v>
      </c>
      <c r="C3977" s="1092"/>
      <c r="D3977" s="1092"/>
      <c r="E3977" s="1092"/>
      <c r="F3977" s="1092"/>
      <c r="G3977" s="1092"/>
      <c r="H3977" s="1092"/>
    </row>
    <row r="3978" spans="1:8" ht="31.5">
      <c r="B3978" s="70" t="s">
        <v>3340</v>
      </c>
      <c r="C3978" s="70" t="s">
        <v>3341</v>
      </c>
      <c r="D3978" s="70" t="s">
        <v>3342</v>
      </c>
      <c r="E3978" s="70" t="s">
        <v>3343</v>
      </c>
      <c r="F3978" s="70" t="s">
        <v>3344</v>
      </c>
      <c r="G3978" s="70" t="s">
        <v>3345</v>
      </c>
      <c r="H3978" s="70" t="s">
        <v>1704</v>
      </c>
    </row>
    <row r="3979" spans="1:8" ht="15.75">
      <c r="B3979" s="60" t="s">
        <v>1705</v>
      </c>
      <c r="C3979" s="1069" t="s">
        <v>615</v>
      </c>
      <c r="D3979" s="239">
        <f>13.5/4</f>
        <v>3.375</v>
      </c>
      <c r="E3979" s="1069" t="s">
        <v>1707</v>
      </c>
      <c r="F3979" s="237"/>
      <c r="G3979" s="237"/>
      <c r="H3979" s="237"/>
    </row>
    <row r="3980" spans="1:8" ht="15.75">
      <c r="B3980" s="64"/>
      <c r="C3980" s="1070"/>
      <c r="D3980" s="203"/>
      <c r="E3980" s="1070"/>
      <c r="F3980" s="238">
        <f>$F$3966</f>
        <v>375</v>
      </c>
      <c r="G3980" s="238">
        <f>INT(13.5*1/4*F3980*100)/100</f>
        <v>1265.6199999999999</v>
      </c>
      <c r="H3980" s="238">
        <f>+G3980</f>
        <v>1265.6199999999999</v>
      </c>
    </row>
    <row r="3981" spans="1:8" ht="17.25">
      <c r="B3981" s="75" t="s">
        <v>2330</v>
      </c>
      <c r="C3981" s="57" t="s">
        <v>1783</v>
      </c>
      <c r="D3981" s="48">
        <v>0.37</v>
      </c>
      <c r="E3981" s="57" t="s">
        <v>3096</v>
      </c>
      <c r="F3981" s="240">
        <f>$F$3954</f>
        <v>115</v>
      </c>
      <c r="G3981" s="240">
        <f>FLOOR(D3981*F3981,0.01)</f>
        <v>42.550000000000004</v>
      </c>
      <c r="H3981" s="240"/>
    </row>
    <row r="3982" spans="1:8" ht="17.25">
      <c r="B3982" s="75"/>
      <c r="C3982" s="55" t="s">
        <v>2325</v>
      </c>
      <c r="D3982" s="54">
        <v>0.11799999999999999</v>
      </c>
      <c r="E3982" s="55" t="s">
        <v>3096</v>
      </c>
      <c r="F3982" s="240">
        <f>'update Rate'!F138</f>
        <v>200</v>
      </c>
      <c r="G3982" s="240">
        <f>FLOOR(D3982*F3982,0.01)</f>
        <v>23.6</v>
      </c>
      <c r="H3982" s="240"/>
    </row>
    <row r="3983" spans="1:8" ht="17.25">
      <c r="B3983" s="75"/>
      <c r="C3983" s="55" t="s">
        <v>2276</v>
      </c>
      <c r="D3983" s="54">
        <v>0.53800000000000003</v>
      </c>
      <c r="E3983" s="55" t="s">
        <v>3136</v>
      </c>
      <c r="F3983" s="240">
        <f>'update Rate'!F139</f>
        <v>180</v>
      </c>
      <c r="G3983" s="240">
        <f>FLOOR(D3983*F3983,0.01)</f>
        <v>96.84</v>
      </c>
      <c r="H3983" s="240"/>
    </row>
    <row r="3984" spans="1:8" ht="15.75">
      <c r="B3984" s="64"/>
      <c r="C3984" s="215" t="s">
        <v>3137</v>
      </c>
      <c r="D3984" s="58" t="s">
        <v>3171</v>
      </c>
      <c r="E3984" s="58" t="s">
        <v>3173</v>
      </c>
      <c r="F3984" s="23" t="s">
        <v>3173</v>
      </c>
      <c r="G3984" s="238">
        <v>60</v>
      </c>
      <c r="H3984" s="238">
        <f>SUM(G3981:G3984)</f>
        <v>222.99</v>
      </c>
    </row>
    <row r="3985" spans="1:8" ht="15.75">
      <c r="F3985" s="42" t="s">
        <v>1708</v>
      </c>
      <c r="G3985" s="42"/>
      <c r="H3985" s="238">
        <f>SUM(H3980:H3984)</f>
        <v>1488.61</v>
      </c>
    </row>
    <row r="3986" spans="1:8" ht="15.75">
      <c r="B3986" s="1" t="s">
        <v>3132</v>
      </c>
      <c r="F3986" s="42" t="s">
        <v>1689</v>
      </c>
      <c r="G3986" s="42"/>
      <c r="H3986" s="238">
        <f>FLOOR(H3985*0.15,0.01)</f>
        <v>223.29</v>
      </c>
    </row>
    <row r="3987" spans="1:8" ht="15.75">
      <c r="B3987" s="147">
        <f>+H3987</f>
        <v>1711.8999999999999</v>
      </c>
      <c r="C3987" s="233" t="s">
        <v>3384</v>
      </c>
      <c r="D3987" s="103">
        <f>FLOOR(B3987/B3988,0.01)</f>
        <v>171.19</v>
      </c>
      <c r="E3987" s="1" t="s">
        <v>3385</v>
      </c>
      <c r="F3987" s="42" t="s">
        <v>1711</v>
      </c>
      <c r="G3987" s="42"/>
      <c r="H3987" s="238">
        <f>SUM(H3985:H3986)</f>
        <v>1711.8999999999999</v>
      </c>
    </row>
    <row r="3988" spans="1:8">
      <c r="B3988" s="241">
        <v>10</v>
      </c>
    </row>
    <row r="3989" spans="1:8">
      <c r="B3989" s="242"/>
    </row>
    <row r="3990" spans="1:8">
      <c r="B3990" s="242"/>
    </row>
    <row r="3991" spans="1:8">
      <c r="B3991" s="242"/>
    </row>
    <row r="3993" spans="1:8" ht="19.5">
      <c r="A3993" s="282">
        <f>A3975+1</f>
        <v>255</v>
      </c>
      <c r="B3993" s="1076" t="s">
        <v>3914</v>
      </c>
      <c r="C3993" s="1077"/>
      <c r="D3993" s="1077"/>
      <c r="E3993" s="1077"/>
      <c r="F3993" s="1077"/>
      <c r="G3993" s="1077"/>
      <c r="H3993" s="1077"/>
    </row>
    <row r="3994" spans="1:8" ht="19.5">
      <c r="A3994" s="1019" t="s">
        <v>4483</v>
      </c>
      <c r="B3994" s="1076" t="s">
        <v>3913</v>
      </c>
      <c r="C3994" s="1077"/>
      <c r="D3994" s="1077"/>
      <c r="E3994" s="1077"/>
      <c r="F3994" s="1077"/>
      <c r="G3994" s="1077"/>
      <c r="H3994" s="1077"/>
    </row>
    <row r="3995" spans="1:8" s="292" customFormat="1">
      <c r="A3995" s="92"/>
      <c r="B3995" s="1075" t="s">
        <v>3915</v>
      </c>
      <c r="C3995" s="1075"/>
      <c r="D3995" s="1075"/>
      <c r="E3995" s="1075"/>
      <c r="F3995" s="1075"/>
      <c r="G3995" s="1075"/>
      <c r="H3995" s="1075"/>
    </row>
    <row r="3996" spans="1:8" ht="31.5">
      <c r="B3996" s="70" t="s">
        <v>3340</v>
      </c>
      <c r="C3996" s="70" t="s">
        <v>3341</v>
      </c>
      <c r="D3996" s="70" t="s">
        <v>3342</v>
      </c>
      <c r="E3996" s="70" t="s">
        <v>3343</v>
      </c>
      <c r="F3996" s="70" t="s">
        <v>3344</v>
      </c>
      <c r="G3996" s="70" t="s">
        <v>3345</v>
      </c>
      <c r="H3996" s="70" t="s">
        <v>1704</v>
      </c>
    </row>
    <row r="3997" spans="1:8" ht="17.25">
      <c r="B3997" s="1067" t="s">
        <v>614</v>
      </c>
      <c r="C3997" s="793" t="s">
        <v>790</v>
      </c>
      <c r="D3997" s="43">
        <v>0.04</v>
      </c>
      <c r="E3997" s="57" t="s">
        <v>1707</v>
      </c>
      <c r="F3997" s="111">
        <f>'update Rate'!F5</f>
        <v>525</v>
      </c>
      <c r="G3997" s="111">
        <f>FLOOR(D3997*F3997,0.01)</f>
        <v>21</v>
      </c>
      <c r="H3997" s="796"/>
    </row>
    <row r="3998" spans="1:8" ht="17.25">
      <c r="B3998" s="1068"/>
      <c r="C3998" s="794" t="s">
        <v>615</v>
      </c>
      <c r="D3998" s="45">
        <v>3.9</v>
      </c>
      <c r="E3998" s="58" t="s">
        <v>1707</v>
      </c>
      <c r="F3998" s="65">
        <f>'update Rate'!F4</f>
        <v>375</v>
      </c>
      <c r="G3998" s="65">
        <f>FLOOR(D3998*F3998,0.01)</f>
        <v>1462.5</v>
      </c>
      <c r="H3998" s="797">
        <f>SUM(G3997+G3998)</f>
        <v>1483.5</v>
      </c>
    </row>
    <row r="3999" spans="1:8" ht="31.5">
      <c r="B3999" s="70" t="s">
        <v>2119</v>
      </c>
      <c r="C3999" s="70" t="s">
        <v>3916</v>
      </c>
      <c r="D3999" s="792"/>
      <c r="E3999" s="66"/>
      <c r="F3999" s="105"/>
      <c r="G3999" s="103"/>
      <c r="H3999" s="130">
        <f>+H3998*0.1</f>
        <v>148.35</v>
      </c>
    </row>
    <row r="4000" spans="1:8" ht="16.5">
      <c r="F4000" s="42" t="s">
        <v>1708</v>
      </c>
      <c r="G4000" s="106"/>
      <c r="H4000" s="65">
        <f>SUM(H3998:H3999)</f>
        <v>1631.85</v>
      </c>
    </row>
    <row r="4001" spans="1:8" ht="16.5">
      <c r="B4001" s="1" t="s">
        <v>3917</v>
      </c>
      <c r="F4001" s="42" t="s">
        <v>1688</v>
      </c>
      <c r="G4001" s="106"/>
      <c r="H4001" s="103">
        <f>FLOOR(H4000*0.15,0.01)</f>
        <v>244.77</v>
      </c>
    </row>
    <row r="4002" spans="1:8" ht="16.5">
      <c r="A4002" s="28" t="s">
        <v>3384</v>
      </c>
      <c r="B4002" s="103">
        <f>+H4002</f>
        <v>1876.62</v>
      </c>
      <c r="C4002" s="233" t="s">
        <v>3384</v>
      </c>
      <c r="D4002" s="103">
        <f>FLOOR(B4002/B4003,0.01)</f>
        <v>1.87</v>
      </c>
      <c r="E4002" s="1" t="s">
        <v>3385</v>
      </c>
      <c r="F4002" s="42" t="s">
        <v>1711</v>
      </c>
      <c r="G4002" s="106"/>
      <c r="H4002" s="103">
        <f>SUM(H4000:H4001)</f>
        <v>1876.62</v>
      </c>
    </row>
    <row r="4003" spans="1:8">
      <c r="B4003" s="241">
        <v>1000</v>
      </c>
    </row>
    <row r="4005" spans="1:8" ht="19.5">
      <c r="A4005" s="282">
        <f>A3993+1</f>
        <v>256</v>
      </c>
      <c r="B4005" s="1076" t="s">
        <v>3918</v>
      </c>
      <c r="C4005" s="1077"/>
      <c r="D4005" s="1077"/>
      <c r="E4005" s="1077"/>
      <c r="F4005" s="1077"/>
      <c r="G4005" s="1077"/>
      <c r="H4005" s="1077"/>
    </row>
    <row r="4006" spans="1:8" ht="19.5">
      <c r="A4006" s="1019" t="s">
        <v>4483</v>
      </c>
      <c r="B4006" s="1076" t="s">
        <v>3913</v>
      </c>
      <c r="C4006" s="1077"/>
      <c r="D4006" s="1077"/>
      <c r="E4006" s="1077"/>
      <c r="F4006" s="1077"/>
      <c r="G4006" s="1077"/>
      <c r="H4006" s="1077"/>
    </row>
    <row r="4007" spans="1:8">
      <c r="A4007" s="92"/>
      <c r="B4007" s="1075" t="s">
        <v>3915</v>
      </c>
      <c r="C4007" s="1075"/>
      <c r="D4007" s="1075"/>
      <c r="E4007" s="1075"/>
      <c r="F4007" s="1075"/>
      <c r="G4007" s="1075"/>
      <c r="H4007" s="1075"/>
    </row>
    <row r="4008" spans="1:8" ht="31.5">
      <c r="B4008" s="70" t="s">
        <v>3340</v>
      </c>
      <c r="C4008" s="70" t="s">
        <v>3341</v>
      </c>
      <c r="D4008" s="70" t="s">
        <v>3342</v>
      </c>
      <c r="E4008" s="70" t="s">
        <v>3343</v>
      </c>
      <c r="F4008" s="70" t="s">
        <v>3344</v>
      </c>
      <c r="G4008" s="70" t="s">
        <v>3345</v>
      </c>
      <c r="H4008" s="70" t="s">
        <v>1704</v>
      </c>
    </row>
    <row r="4009" spans="1:8" ht="17.25">
      <c r="B4009" s="1067" t="s">
        <v>614</v>
      </c>
      <c r="C4009" s="793" t="s">
        <v>790</v>
      </c>
      <c r="D4009" s="43">
        <v>0.75</v>
      </c>
      <c r="E4009" s="57" t="s">
        <v>1707</v>
      </c>
      <c r="F4009" s="111">
        <f>'update Rate'!F5</f>
        <v>525</v>
      </c>
      <c r="G4009" s="111">
        <f>FLOOR(D4009*F4009,0.01)</f>
        <v>393.75</v>
      </c>
      <c r="H4009" s="796"/>
    </row>
    <row r="4010" spans="1:8" ht="17.25">
      <c r="B4010" s="1068"/>
      <c r="C4010" s="794" t="s">
        <v>615</v>
      </c>
      <c r="D4010" s="45">
        <v>4.0999999999999996</v>
      </c>
      <c r="E4010" s="58" t="s">
        <v>1707</v>
      </c>
      <c r="F4010" s="65">
        <f>'update Rate'!F4</f>
        <v>375</v>
      </c>
      <c r="G4010" s="65">
        <f>FLOOR(D4010*F4010,0.01)</f>
        <v>1537.5</v>
      </c>
      <c r="H4010" s="797">
        <f>SUM(G4009+G4010)</f>
        <v>1931.25</v>
      </c>
    </row>
    <row r="4011" spans="1:8" ht="31.5">
      <c r="B4011" s="70" t="s">
        <v>2119</v>
      </c>
      <c r="C4011" s="70" t="s">
        <v>3916</v>
      </c>
      <c r="D4011" s="792"/>
      <c r="E4011" s="66"/>
      <c r="F4011" s="105"/>
      <c r="G4011" s="103"/>
      <c r="H4011" s="130">
        <f>+H4010*0.1</f>
        <v>193.125</v>
      </c>
    </row>
    <row r="4012" spans="1:8" ht="16.5">
      <c r="F4012" s="42" t="s">
        <v>1708</v>
      </c>
      <c r="G4012" s="106"/>
      <c r="H4012" s="65">
        <f>SUM(H4010:H4011)</f>
        <v>2124.375</v>
      </c>
    </row>
    <row r="4013" spans="1:8" ht="16.5">
      <c r="B4013" s="1" t="s">
        <v>3917</v>
      </c>
      <c r="F4013" s="42" t="s">
        <v>1688</v>
      </c>
      <c r="G4013" s="106"/>
      <c r="H4013" s="103">
        <f>FLOOR(H4012*0.15,0.01)</f>
        <v>318.65000000000003</v>
      </c>
    </row>
    <row r="4014" spans="1:8" ht="16.5">
      <c r="A4014" s="28" t="s">
        <v>3384</v>
      </c>
      <c r="B4014" s="103">
        <f>+H4014</f>
        <v>2443.0250000000001</v>
      </c>
      <c r="C4014" s="233" t="s">
        <v>3384</v>
      </c>
      <c r="D4014" s="103">
        <f>FLOOR(B4014/B4015,0.01)</f>
        <v>2.44</v>
      </c>
      <c r="E4014" s="1" t="s">
        <v>3385</v>
      </c>
      <c r="F4014" s="42" t="s">
        <v>1711</v>
      </c>
      <c r="G4014" s="106"/>
      <c r="H4014" s="103">
        <f>SUM(H4012:H4013)</f>
        <v>2443.0250000000001</v>
      </c>
    </row>
    <row r="4015" spans="1:8">
      <c r="B4015" s="241">
        <v>1000</v>
      </c>
    </row>
    <row r="4018" spans="1:8" ht="19.5">
      <c r="A4018" s="282">
        <f>A4005+1</f>
        <v>257</v>
      </c>
      <c r="B4018" s="1076" t="s">
        <v>3919</v>
      </c>
      <c r="C4018" s="1077"/>
      <c r="D4018" s="1077"/>
      <c r="E4018" s="1077"/>
      <c r="F4018" s="1077"/>
      <c r="G4018" s="1077"/>
      <c r="H4018" s="1077"/>
    </row>
    <row r="4019" spans="1:8" ht="19.5">
      <c r="A4019" s="1019" t="s">
        <v>4483</v>
      </c>
      <c r="B4019" s="1076" t="s">
        <v>3913</v>
      </c>
      <c r="C4019" s="1077"/>
      <c r="D4019" s="1077"/>
      <c r="E4019" s="1077"/>
      <c r="F4019" s="1077"/>
      <c r="G4019" s="1077"/>
      <c r="H4019" s="1077"/>
    </row>
    <row r="4020" spans="1:8">
      <c r="A4020" s="92"/>
      <c r="B4020" s="1075" t="s">
        <v>3915</v>
      </c>
      <c r="C4020" s="1075"/>
      <c r="D4020" s="1075"/>
      <c r="E4020" s="1075"/>
      <c r="F4020" s="1075"/>
      <c r="G4020" s="1075"/>
      <c r="H4020" s="1075"/>
    </row>
    <row r="4021" spans="1:8" ht="48.75" customHeight="1">
      <c r="B4021" s="70" t="s">
        <v>3340</v>
      </c>
      <c r="C4021" s="70" t="s">
        <v>3341</v>
      </c>
      <c r="D4021" s="70" t="s">
        <v>3342</v>
      </c>
      <c r="E4021" s="70" t="s">
        <v>3343</v>
      </c>
      <c r="F4021" s="70" t="s">
        <v>3344</v>
      </c>
      <c r="G4021" s="70" t="s">
        <v>3345</v>
      </c>
      <c r="H4021" s="70" t="s">
        <v>1704</v>
      </c>
    </row>
    <row r="4022" spans="1:8" ht="17.25">
      <c r="B4022" s="1067" t="s">
        <v>614</v>
      </c>
      <c r="C4022" s="793" t="s">
        <v>790</v>
      </c>
      <c r="D4022" s="43">
        <v>1.2</v>
      </c>
      <c r="E4022" s="57" t="s">
        <v>1707</v>
      </c>
      <c r="F4022" s="111">
        <f>'update Rate'!F5</f>
        <v>525</v>
      </c>
      <c r="G4022" s="111">
        <f>FLOOR(D4022*F4022,0.01)</f>
        <v>630</v>
      </c>
      <c r="H4022" s="796"/>
    </row>
    <row r="4023" spans="1:8" ht="17.25">
      <c r="B4023" s="1068"/>
      <c r="C4023" s="794" t="s">
        <v>615</v>
      </c>
      <c r="D4023" s="45">
        <v>4.8499999999999996</v>
      </c>
      <c r="E4023" s="58" t="s">
        <v>1707</v>
      </c>
      <c r="F4023" s="65">
        <f>'update Rate'!F4</f>
        <v>375</v>
      </c>
      <c r="G4023" s="65">
        <f>FLOOR(D4023*F4023,0.01)</f>
        <v>1818.75</v>
      </c>
      <c r="H4023" s="797">
        <f>SUM(G4022+G4023)</f>
        <v>2448.75</v>
      </c>
    </row>
    <row r="4024" spans="1:8" ht="31.5">
      <c r="B4024" s="70" t="s">
        <v>2119</v>
      </c>
      <c r="C4024" s="70" t="s">
        <v>3916</v>
      </c>
      <c r="D4024" s="792"/>
      <c r="E4024" s="66"/>
      <c r="F4024" s="105"/>
      <c r="G4024" s="103"/>
      <c r="H4024" s="130">
        <f>+H4023*0.1</f>
        <v>244.875</v>
      </c>
    </row>
    <row r="4025" spans="1:8" ht="16.5">
      <c r="F4025" s="42" t="s">
        <v>1708</v>
      </c>
      <c r="G4025" s="106"/>
      <c r="H4025" s="65">
        <f>SUM(H4023:H4024)</f>
        <v>2693.625</v>
      </c>
    </row>
    <row r="4026" spans="1:8" ht="16.5">
      <c r="B4026" s="1" t="s">
        <v>3917</v>
      </c>
      <c r="F4026" s="42" t="s">
        <v>1688</v>
      </c>
      <c r="G4026" s="106"/>
      <c r="H4026" s="103">
        <f>FLOOR(H4025*0.15,0.01)</f>
        <v>404.04</v>
      </c>
    </row>
    <row r="4027" spans="1:8" ht="16.5">
      <c r="A4027" s="28" t="s">
        <v>3384</v>
      </c>
      <c r="B4027" s="103">
        <f>+H4027</f>
        <v>3097.665</v>
      </c>
      <c r="C4027" s="233" t="s">
        <v>3384</v>
      </c>
      <c r="D4027" s="103">
        <f>FLOOR(B4027/B4028,0.01)</f>
        <v>3.09</v>
      </c>
      <c r="E4027" s="1" t="s">
        <v>3385</v>
      </c>
      <c r="F4027" s="42" t="s">
        <v>1711</v>
      </c>
      <c r="G4027" s="106"/>
      <c r="H4027" s="103">
        <f>SUM(H4025:H4026)</f>
        <v>3097.665</v>
      </c>
    </row>
    <row r="4028" spans="1:8">
      <c r="B4028" s="241">
        <v>1000</v>
      </c>
    </row>
    <row r="4031" spans="1:8">
      <c r="A4031" s="282">
        <f>A4018+1</f>
        <v>258</v>
      </c>
    </row>
    <row r="4032" spans="1:8" ht="19.5">
      <c r="A4032" s="1019" t="s">
        <v>4484</v>
      </c>
      <c r="B4032" s="1076" t="s">
        <v>3920</v>
      </c>
      <c r="C4032" s="1077"/>
      <c r="D4032" s="1077"/>
      <c r="E4032" s="1077"/>
      <c r="F4032" s="1077"/>
      <c r="G4032" s="1077"/>
      <c r="H4032" s="1077"/>
    </row>
    <row r="4033" spans="1:8">
      <c r="A4033" s="92"/>
      <c r="B4033" s="1075" t="s">
        <v>1683</v>
      </c>
      <c r="C4033" s="1075"/>
      <c r="D4033" s="1075"/>
      <c r="E4033" s="1075"/>
      <c r="F4033" s="1075"/>
      <c r="G4033" s="1075"/>
      <c r="H4033" s="1075"/>
    </row>
    <row r="4034" spans="1:8" ht="31.5">
      <c r="B4034" s="70" t="s">
        <v>3340</v>
      </c>
      <c r="C4034" s="70" t="s">
        <v>3341</v>
      </c>
      <c r="D4034" s="70" t="s">
        <v>3342</v>
      </c>
      <c r="E4034" s="70" t="s">
        <v>3343</v>
      </c>
      <c r="F4034" s="70" t="s">
        <v>3344</v>
      </c>
      <c r="G4034" s="70" t="s">
        <v>3345</v>
      </c>
      <c r="H4034" s="70" t="s">
        <v>1704</v>
      </c>
    </row>
    <row r="4035" spans="1:8" ht="28.5" customHeight="1">
      <c r="B4035" s="1067" t="s">
        <v>614</v>
      </c>
      <c r="C4035" s="799" t="s">
        <v>790</v>
      </c>
      <c r="D4035" s="43">
        <v>0.1</v>
      </c>
      <c r="E4035" s="57" t="s">
        <v>1707</v>
      </c>
      <c r="F4035" s="111">
        <f>'update Rate'!F5</f>
        <v>525</v>
      </c>
      <c r="G4035" s="111">
        <f>FLOOR(D4035*F4035,0.01)</f>
        <v>52.5</v>
      </c>
      <c r="H4035" s="801"/>
    </row>
    <row r="4036" spans="1:8" ht="17.25">
      <c r="B4036" s="1068"/>
      <c r="C4036" s="800" t="s">
        <v>615</v>
      </c>
      <c r="D4036" s="45">
        <v>1.4</v>
      </c>
      <c r="E4036" s="58" t="s">
        <v>1707</v>
      </c>
      <c r="F4036" s="65">
        <f>'update Rate'!F4</f>
        <v>375</v>
      </c>
      <c r="G4036" s="65">
        <f>FLOOR(D4036*F4036,0.01)</f>
        <v>525</v>
      </c>
      <c r="H4036" s="802">
        <f>SUM(G4035+G4036)</f>
        <v>577.5</v>
      </c>
    </row>
    <row r="4037" spans="1:8" ht="31.5">
      <c r="B4037" s="70" t="s">
        <v>2119</v>
      </c>
      <c r="C4037" s="70" t="s">
        <v>3916</v>
      </c>
      <c r="D4037" s="792"/>
      <c r="E4037" s="66"/>
      <c r="F4037" s="105"/>
      <c r="G4037" s="103"/>
      <c r="H4037" s="130">
        <f>+H4036*0.05</f>
        <v>28.875</v>
      </c>
    </row>
    <row r="4038" spans="1:8" ht="16.5">
      <c r="F4038" s="42" t="s">
        <v>1708</v>
      </c>
      <c r="G4038" s="106"/>
      <c r="H4038" s="65">
        <f>SUM(H4036:H4037)</f>
        <v>606.375</v>
      </c>
    </row>
    <row r="4039" spans="1:8" ht="16.5">
      <c r="B4039" s="1" t="s">
        <v>3658</v>
      </c>
      <c r="F4039" s="42" t="s">
        <v>1688</v>
      </c>
      <c r="G4039" s="106"/>
      <c r="H4039" s="103">
        <f>FLOOR(H4038*0.15,0.01)</f>
        <v>90.95</v>
      </c>
    </row>
    <row r="4040" spans="1:8" ht="16.5">
      <c r="A4040" s="28" t="s">
        <v>3384</v>
      </c>
      <c r="B4040" s="103">
        <f>+H4040</f>
        <v>697.32500000000005</v>
      </c>
      <c r="C4040" s="1" t="s">
        <v>3385</v>
      </c>
      <c r="D4040" s="151"/>
      <c r="F4040" s="42" t="s">
        <v>1711</v>
      </c>
      <c r="G4040" s="106"/>
      <c r="H4040" s="103">
        <f>SUM(H4038:H4039)</f>
        <v>697.32500000000005</v>
      </c>
    </row>
    <row r="4041" spans="1:8">
      <c r="B4041" s="241"/>
    </row>
    <row r="4042" spans="1:8">
      <c r="A4042" s="32"/>
    </row>
    <row r="4043" spans="1:8">
      <c r="A4043" s="282">
        <f>A4031+1</f>
        <v>259</v>
      </c>
    </row>
    <row r="4044" spans="1:8" ht="19.5">
      <c r="A4044" s="1019" t="s">
        <v>4484</v>
      </c>
      <c r="B4044" s="1076" t="s">
        <v>3921</v>
      </c>
      <c r="C4044" s="1077"/>
      <c r="D4044" s="1077"/>
      <c r="E4044" s="1077"/>
      <c r="F4044" s="1077"/>
      <c r="G4044" s="1077"/>
      <c r="H4044" s="1077"/>
    </row>
    <row r="4045" spans="1:8">
      <c r="A4045" s="92"/>
      <c r="B4045" s="1075" t="s">
        <v>3922</v>
      </c>
      <c r="C4045" s="1075"/>
      <c r="D4045" s="1075"/>
      <c r="E4045" s="1075"/>
      <c r="F4045" s="1075"/>
      <c r="G4045" s="1075"/>
      <c r="H4045" s="1075"/>
    </row>
    <row r="4046" spans="1:8" ht="31.5">
      <c r="B4046" s="70" t="s">
        <v>3340</v>
      </c>
      <c r="C4046" s="70" t="s">
        <v>3341</v>
      </c>
      <c r="D4046" s="70" t="s">
        <v>3342</v>
      </c>
      <c r="E4046" s="70" t="s">
        <v>3343</v>
      </c>
      <c r="F4046" s="70" t="s">
        <v>3344</v>
      </c>
      <c r="G4046" s="70" t="s">
        <v>3345</v>
      </c>
      <c r="H4046" s="70" t="s">
        <v>1704</v>
      </c>
    </row>
    <row r="4047" spans="1:8" ht="17.25">
      <c r="B4047" s="1067" t="s">
        <v>614</v>
      </c>
      <c r="C4047" s="799" t="s">
        <v>790</v>
      </c>
      <c r="D4047" s="43">
        <v>0.1</v>
      </c>
      <c r="E4047" s="57" t="s">
        <v>1707</v>
      </c>
      <c r="F4047" s="111">
        <f>'update Rate'!F5</f>
        <v>525</v>
      </c>
      <c r="G4047" s="111">
        <f>FLOOR(D4047*F4047,0.01)</f>
        <v>52.5</v>
      </c>
      <c r="H4047" s="801"/>
    </row>
    <row r="4048" spans="1:8" ht="17.25">
      <c r="B4048" s="1068"/>
      <c r="C4048" s="800" t="s">
        <v>615</v>
      </c>
      <c r="D4048" s="45">
        <v>2.7</v>
      </c>
      <c r="E4048" s="58" t="s">
        <v>1707</v>
      </c>
      <c r="F4048" s="65">
        <f>'update Rate'!F4</f>
        <v>375</v>
      </c>
      <c r="G4048" s="65">
        <f>FLOOR(D4048*F4048,0.01)</f>
        <v>1012.5</v>
      </c>
      <c r="H4048" s="802">
        <f>SUM(G4047+G4048)</f>
        <v>1065</v>
      </c>
    </row>
    <row r="4049" spans="1:8" ht="31.5">
      <c r="B4049" s="70" t="s">
        <v>2119</v>
      </c>
      <c r="C4049" s="70" t="s">
        <v>3916</v>
      </c>
      <c r="D4049" s="792"/>
      <c r="E4049" s="66"/>
      <c r="F4049" s="105"/>
      <c r="G4049" s="103"/>
      <c r="H4049" s="130">
        <f>+H4048*0.05</f>
        <v>53.25</v>
      </c>
    </row>
    <row r="4050" spans="1:8" ht="16.5">
      <c r="F4050" s="42" t="s">
        <v>1708</v>
      </c>
      <c r="G4050" s="106"/>
      <c r="H4050" s="65">
        <f>SUM(H4048:H4049)</f>
        <v>1118.25</v>
      </c>
    </row>
    <row r="4051" spans="1:8" ht="16.5">
      <c r="B4051" s="1" t="s">
        <v>3658</v>
      </c>
      <c r="F4051" s="42" t="s">
        <v>1688</v>
      </c>
      <c r="G4051" s="106"/>
      <c r="H4051" s="103">
        <f>FLOOR(H4050*0.15,0.01)</f>
        <v>167.73</v>
      </c>
    </row>
    <row r="4052" spans="1:8" ht="16.5">
      <c r="A4052" s="28" t="s">
        <v>3384</v>
      </c>
      <c r="B4052" s="103">
        <f>+H4052</f>
        <v>1285.98</v>
      </c>
      <c r="C4052" s="1" t="s">
        <v>3385</v>
      </c>
      <c r="D4052" s="151"/>
      <c r="F4052" s="42" t="s">
        <v>1711</v>
      </c>
      <c r="G4052" s="106"/>
      <c r="H4052" s="103">
        <f>SUM(H4050:H4051)</f>
        <v>1285.98</v>
      </c>
    </row>
    <row r="4053" spans="1:8">
      <c r="B4053" s="241"/>
    </row>
    <row r="4054" spans="1:8">
      <c r="B4054" s="242"/>
    </row>
    <row r="4055" spans="1:8">
      <c r="A4055" s="282">
        <f>A4043+1</f>
        <v>260</v>
      </c>
    </row>
    <row r="4056" spans="1:8" ht="19.5">
      <c r="A4056" s="1019" t="s">
        <v>4485</v>
      </c>
      <c r="B4056" s="1076" t="s">
        <v>3925</v>
      </c>
      <c r="C4056" s="1077"/>
      <c r="D4056" s="1077"/>
      <c r="E4056" s="1077"/>
      <c r="F4056" s="1077"/>
      <c r="G4056" s="1077"/>
      <c r="H4056" s="1077"/>
    </row>
    <row r="4057" spans="1:8">
      <c r="A4057" s="92"/>
      <c r="B4057" s="1075" t="s">
        <v>3923</v>
      </c>
      <c r="C4057" s="1075"/>
      <c r="D4057" s="1075"/>
      <c r="E4057" s="1075"/>
      <c r="F4057" s="1075"/>
      <c r="G4057" s="1075"/>
      <c r="H4057" s="1075"/>
    </row>
    <row r="4058" spans="1:8" ht="31.5">
      <c r="B4058" s="70" t="s">
        <v>3340</v>
      </c>
      <c r="C4058" s="70" t="s">
        <v>3341</v>
      </c>
      <c r="D4058" s="70" t="s">
        <v>3342</v>
      </c>
      <c r="E4058" s="70" t="s">
        <v>3343</v>
      </c>
      <c r="F4058" s="70" t="s">
        <v>3344</v>
      </c>
      <c r="G4058" s="70" t="s">
        <v>3345</v>
      </c>
      <c r="H4058" s="70" t="s">
        <v>1704</v>
      </c>
    </row>
    <row r="4059" spans="1:8" ht="17.25">
      <c r="B4059" s="1067" t="s">
        <v>614</v>
      </c>
      <c r="C4059" s="799" t="s">
        <v>790</v>
      </c>
      <c r="D4059" s="43">
        <v>0.5</v>
      </c>
      <c r="E4059" s="57" t="s">
        <v>1707</v>
      </c>
      <c r="F4059" s="111">
        <f>'update Rate'!F5</f>
        <v>525</v>
      </c>
      <c r="G4059" s="111">
        <f>FLOOR(D4059*F4059,0.01)</f>
        <v>262.5</v>
      </c>
      <c r="H4059" s="801"/>
    </row>
    <row r="4060" spans="1:8" ht="17.25">
      <c r="B4060" s="1068"/>
      <c r="C4060" s="800" t="s">
        <v>615</v>
      </c>
      <c r="D4060" s="45">
        <v>3</v>
      </c>
      <c r="E4060" s="58" t="s">
        <v>1707</v>
      </c>
      <c r="F4060" s="65">
        <f>'update Rate'!F4</f>
        <v>375</v>
      </c>
      <c r="G4060" s="65">
        <f>FLOOR(D4060*F4060,0.01)</f>
        <v>1125</v>
      </c>
      <c r="H4060" s="802">
        <f>SUM(G4059+G4060)</f>
        <v>1387.5</v>
      </c>
    </row>
    <row r="4061" spans="1:8" ht="31.5">
      <c r="B4061" s="70" t="s">
        <v>2119</v>
      </c>
      <c r="C4061" s="70" t="s">
        <v>3924</v>
      </c>
      <c r="D4061" s="792"/>
      <c r="E4061" s="66"/>
      <c r="F4061" s="105"/>
      <c r="G4061" s="103"/>
      <c r="H4061" s="130">
        <f>+H4060*0.05</f>
        <v>69.375</v>
      </c>
    </row>
    <row r="4062" spans="1:8" ht="16.5">
      <c r="F4062" s="42" t="s">
        <v>1708</v>
      </c>
      <c r="G4062" s="106"/>
      <c r="H4062" s="65">
        <f>SUM(H4060:H4061)</f>
        <v>1456.875</v>
      </c>
    </row>
    <row r="4063" spans="1:8" ht="16.5">
      <c r="B4063" s="1" t="s">
        <v>1053</v>
      </c>
      <c r="F4063" s="42" t="s">
        <v>1688</v>
      </c>
      <c r="G4063" s="106"/>
      <c r="H4063" s="103">
        <f>FLOOR(H4062*0.15,0.01)</f>
        <v>218.53</v>
      </c>
    </row>
    <row r="4064" spans="1:8" ht="20.100000000000001" customHeight="1">
      <c r="A4064" s="28" t="s">
        <v>3384</v>
      </c>
      <c r="B4064" s="103">
        <f>+H4064</f>
        <v>1675.405</v>
      </c>
      <c r="C4064" s="1" t="s">
        <v>3385</v>
      </c>
      <c r="D4064" s="151"/>
      <c r="F4064" s="42" t="s">
        <v>1711</v>
      </c>
      <c r="G4064" s="106"/>
      <c r="H4064" s="103">
        <f>SUM(H4062:H4063)</f>
        <v>1675.405</v>
      </c>
    </row>
    <row r="4065" spans="1:8" ht="20.100000000000001" customHeight="1">
      <c r="A4065" s="28"/>
      <c r="B4065" s="151"/>
      <c r="D4065" s="151"/>
      <c r="F4065" s="42"/>
      <c r="G4065" s="106"/>
      <c r="H4065" s="151"/>
    </row>
    <row r="4066" spans="1:8" ht="20.100000000000001" customHeight="1">
      <c r="A4066" s="32"/>
    </row>
    <row r="4067" spans="1:8" ht="20.100000000000001" customHeight="1">
      <c r="A4067" s="282">
        <f>A4055+1</f>
        <v>261</v>
      </c>
    </row>
    <row r="4068" spans="1:8" ht="19.5">
      <c r="A4068" s="1019" t="s">
        <v>4486</v>
      </c>
      <c r="B4068" s="1076" t="s">
        <v>3926</v>
      </c>
      <c r="C4068" s="1077"/>
      <c r="D4068" s="1077"/>
      <c r="E4068" s="1077"/>
      <c r="F4068" s="1077"/>
      <c r="G4068" s="1077"/>
      <c r="H4068" s="1077"/>
    </row>
    <row r="4069" spans="1:8">
      <c r="A4069" s="92"/>
      <c r="B4069" s="1075" t="s">
        <v>3927</v>
      </c>
      <c r="C4069" s="1075"/>
      <c r="D4069" s="1075"/>
      <c r="E4069" s="1075"/>
      <c r="F4069" s="1075"/>
      <c r="G4069" s="1075"/>
      <c r="H4069" s="1075"/>
    </row>
    <row r="4070" spans="1:8" ht="31.5">
      <c r="B4070" s="70" t="s">
        <v>3340</v>
      </c>
      <c r="C4070" s="70" t="s">
        <v>3341</v>
      </c>
      <c r="D4070" s="70" t="s">
        <v>3342</v>
      </c>
      <c r="E4070" s="70" t="s">
        <v>3343</v>
      </c>
      <c r="F4070" s="70" t="s">
        <v>3344</v>
      </c>
      <c r="G4070" s="70" t="s">
        <v>3345</v>
      </c>
      <c r="H4070" s="70" t="s">
        <v>1704</v>
      </c>
    </row>
    <row r="4071" spans="1:8" ht="17.25">
      <c r="B4071" s="711" t="s">
        <v>614</v>
      </c>
      <c r="C4071" s="70" t="s">
        <v>615</v>
      </c>
      <c r="D4071" s="46">
        <v>0.45</v>
      </c>
      <c r="E4071" s="66" t="s">
        <v>1707</v>
      </c>
      <c r="F4071" s="105">
        <f>'update Rate'!F4</f>
        <v>375</v>
      </c>
      <c r="G4071" s="105">
        <f>FLOOR(D4071*F4071,0.01)</f>
        <v>168.75</v>
      </c>
      <c r="H4071" s="802">
        <f>SUM(G4071)</f>
        <v>168.75</v>
      </c>
    </row>
    <row r="4072" spans="1:8" ht="16.5">
      <c r="F4072" s="42" t="s">
        <v>1708</v>
      </c>
      <c r="G4072" s="106"/>
      <c r="H4072" s="65">
        <f>SUM(H4071:H4071)</f>
        <v>168.75</v>
      </c>
    </row>
    <row r="4073" spans="1:8" ht="16.5">
      <c r="B4073" s="1" t="s">
        <v>1710</v>
      </c>
      <c r="F4073" s="42" t="s">
        <v>1688</v>
      </c>
      <c r="G4073" s="106"/>
      <c r="H4073" s="103">
        <f>FLOOR(H4072*0.15,0.01)</f>
        <v>25.310000000000002</v>
      </c>
    </row>
    <row r="4074" spans="1:8" ht="16.5">
      <c r="A4074" s="28" t="s">
        <v>3384</v>
      </c>
      <c r="B4074" s="103">
        <f>+H4074</f>
        <v>194.06</v>
      </c>
      <c r="C4074" s="1" t="s">
        <v>3385</v>
      </c>
      <c r="D4074" s="151"/>
      <c r="F4074" s="42" t="s">
        <v>1711</v>
      </c>
      <c r="G4074" s="106"/>
      <c r="H4074" s="103">
        <f>SUM(H4072:H4073)</f>
        <v>194.06</v>
      </c>
    </row>
    <row r="4075" spans="1:8">
      <c r="A4075" s="33"/>
    </row>
    <row r="4076" spans="1:8">
      <c r="A4076" s="32"/>
    </row>
    <row r="4077" spans="1:8">
      <c r="A4077" s="282">
        <f>A4067+1</f>
        <v>262</v>
      </c>
    </row>
    <row r="4078" spans="1:8" ht="19.5">
      <c r="A4078" s="1019" t="s">
        <v>4486</v>
      </c>
      <c r="B4078" s="1076" t="s">
        <v>3928</v>
      </c>
      <c r="C4078" s="1077"/>
      <c r="D4078" s="1077"/>
      <c r="E4078" s="1077"/>
      <c r="F4078" s="1077"/>
      <c r="G4078" s="1077"/>
      <c r="H4078" s="1077"/>
    </row>
    <row r="4079" spans="1:8" ht="20.100000000000001" customHeight="1">
      <c r="A4079" s="92"/>
      <c r="B4079" s="1075" t="s">
        <v>3927</v>
      </c>
      <c r="C4079" s="1075"/>
      <c r="D4079" s="1075"/>
      <c r="E4079" s="1075"/>
      <c r="F4079" s="1075"/>
      <c r="G4079" s="1075"/>
      <c r="H4079" s="1075"/>
    </row>
    <row r="4080" spans="1:8" ht="20.100000000000001" customHeight="1">
      <c r="B4080" s="70" t="s">
        <v>3340</v>
      </c>
      <c r="C4080" s="70" t="s">
        <v>3341</v>
      </c>
      <c r="D4080" s="70" t="s">
        <v>3342</v>
      </c>
      <c r="E4080" s="70" t="s">
        <v>3343</v>
      </c>
      <c r="F4080" s="70" t="s">
        <v>3344</v>
      </c>
      <c r="G4080" s="70" t="s">
        <v>3345</v>
      </c>
      <c r="H4080" s="70" t="s">
        <v>1704</v>
      </c>
    </row>
    <row r="4081" spans="1:8" ht="17.25">
      <c r="B4081" s="711" t="s">
        <v>614</v>
      </c>
      <c r="C4081" s="70" t="s">
        <v>615</v>
      </c>
      <c r="D4081" s="46">
        <v>0.42</v>
      </c>
      <c r="E4081" s="66" t="s">
        <v>1707</v>
      </c>
      <c r="F4081" s="105">
        <f>'update Rate'!F4</f>
        <v>375</v>
      </c>
      <c r="G4081" s="105">
        <f>FLOOR(D4081*F4081,0.01)</f>
        <v>157.5</v>
      </c>
      <c r="H4081" s="802">
        <f>SUM(G4081)</f>
        <v>157.5</v>
      </c>
    </row>
    <row r="4082" spans="1:8" ht="36" customHeight="1">
      <c r="F4082" s="42" t="s">
        <v>1708</v>
      </c>
      <c r="G4082" s="106"/>
      <c r="H4082" s="65">
        <f>SUM(H4081:H4081)</f>
        <v>157.5</v>
      </c>
    </row>
    <row r="4083" spans="1:8" ht="16.5">
      <c r="B4083" s="1" t="s">
        <v>1710</v>
      </c>
      <c r="F4083" s="42" t="s">
        <v>1688</v>
      </c>
      <c r="G4083" s="106"/>
      <c r="H4083" s="103">
        <f>FLOOR(H4082*0.15,0.01)</f>
        <v>23.62</v>
      </c>
    </row>
    <row r="4084" spans="1:8" ht="16.5">
      <c r="A4084" s="28" t="s">
        <v>3384</v>
      </c>
      <c r="B4084" s="103">
        <f>+H4084</f>
        <v>181.12</v>
      </c>
      <c r="C4084" s="1" t="s">
        <v>3385</v>
      </c>
      <c r="D4084" s="151"/>
      <c r="F4084" s="42" t="s">
        <v>1711</v>
      </c>
      <c r="G4084" s="106"/>
      <c r="H4084" s="103">
        <f>SUM(H4082:H4083)</f>
        <v>181.12</v>
      </c>
    </row>
    <row r="4085" spans="1:8" ht="11.25" customHeight="1">
      <c r="A4085" s="33"/>
    </row>
    <row r="4086" spans="1:8" ht="20.100000000000001" customHeight="1">
      <c r="A4086" s="282">
        <f>A4077+1</f>
        <v>263</v>
      </c>
    </row>
    <row r="4087" spans="1:8" ht="19.5">
      <c r="A4087" s="1019" t="s">
        <v>4486</v>
      </c>
      <c r="B4087" s="1076" t="s">
        <v>3929</v>
      </c>
      <c r="C4087" s="1077"/>
      <c r="D4087" s="1077"/>
      <c r="E4087" s="1077"/>
      <c r="F4087" s="1077"/>
      <c r="G4087" s="1077"/>
      <c r="H4087" s="1077"/>
    </row>
    <row r="4088" spans="1:8">
      <c r="A4088" s="92"/>
      <c r="B4088" s="1075" t="s">
        <v>3927</v>
      </c>
      <c r="C4088" s="1075"/>
      <c r="D4088" s="1075"/>
      <c r="E4088" s="1075"/>
      <c r="F4088" s="1075"/>
      <c r="G4088" s="1075"/>
      <c r="H4088" s="1075"/>
    </row>
    <row r="4089" spans="1:8" ht="31.5">
      <c r="B4089" s="70" t="s">
        <v>3340</v>
      </c>
      <c r="C4089" s="70" t="s">
        <v>3341</v>
      </c>
      <c r="D4089" s="70" t="s">
        <v>3342</v>
      </c>
      <c r="E4089" s="70" t="s">
        <v>3343</v>
      </c>
      <c r="F4089" s="70" t="s">
        <v>3344</v>
      </c>
      <c r="G4089" s="70" t="s">
        <v>3345</v>
      </c>
      <c r="H4089" s="70" t="s">
        <v>1704</v>
      </c>
    </row>
    <row r="4090" spans="1:8" ht="17.25">
      <c r="B4090" s="711" t="s">
        <v>614</v>
      </c>
      <c r="C4090" s="70" t="s">
        <v>615</v>
      </c>
      <c r="D4090" s="46">
        <v>0.4</v>
      </c>
      <c r="E4090" s="66" t="s">
        <v>1707</v>
      </c>
      <c r="F4090" s="105">
        <f>'update Rate'!F4</f>
        <v>375</v>
      </c>
      <c r="G4090" s="105">
        <f>FLOOR(D4090*F4090,0.01)</f>
        <v>150</v>
      </c>
      <c r="H4090" s="802">
        <f>SUM(G4090)</f>
        <v>150</v>
      </c>
    </row>
    <row r="4091" spans="1:8" ht="16.5">
      <c r="F4091" s="42" t="s">
        <v>1708</v>
      </c>
      <c r="G4091" s="106"/>
      <c r="H4091" s="65">
        <f>SUM(H4090:H4090)</f>
        <v>150</v>
      </c>
    </row>
    <row r="4092" spans="1:8" ht="16.5">
      <c r="B4092" s="1" t="s">
        <v>1710</v>
      </c>
      <c r="F4092" s="42" t="s">
        <v>1688</v>
      </c>
      <c r="G4092" s="106"/>
      <c r="H4092" s="103">
        <f>FLOOR(H4091*0.15,0.01)</f>
        <v>22.5</v>
      </c>
    </row>
    <row r="4093" spans="1:8" ht="16.5">
      <c r="A4093" s="28" t="s">
        <v>3384</v>
      </c>
      <c r="B4093" s="103">
        <f>+H4093</f>
        <v>172.5</v>
      </c>
      <c r="C4093" s="1" t="s">
        <v>3385</v>
      </c>
      <c r="D4093" s="151"/>
      <c r="F4093" s="42" t="s">
        <v>1711</v>
      </c>
      <c r="G4093" s="106"/>
      <c r="H4093" s="103">
        <f>SUM(H4091:H4092)</f>
        <v>172.5</v>
      </c>
    </row>
    <row r="4094" spans="1:8">
      <c r="A4094" s="33"/>
    </row>
    <row r="4095" spans="1:8">
      <c r="A4095" s="33"/>
    </row>
    <row r="4096" spans="1:8" ht="19.5">
      <c r="A4096" s="145">
        <f>A4086+1</f>
        <v>264</v>
      </c>
      <c r="B4096" s="1089" t="s">
        <v>1585</v>
      </c>
      <c r="C4096" s="1089"/>
      <c r="D4096" s="1089"/>
      <c r="E4096" s="1089"/>
      <c r="F4096" s="1089"/>
      <c r="G4096" s="1089"/>
      <c r="H4096" s="1089"/>
    </row>
    <row r="4097" spans="1:8" ht="19.5">
      <c r="A4097" s="1019" t="s">
        <v>4487</v>
      </c>
      <c r="B4097" s="1076" t="s">
        <v>1940</v>
      </c>
      <c r="C4097" s="1089"/>
      <c r="D4097" s="1089"/>
      <c r="E4097" s="1089"/>
      <c r="F4097" s="1089"/>
      <c r="G4097" s="1089"/>
      <c r="H4097" s="1089"/>
    </row>
    <row r="4098" spans="1:8">
      <c r="B4098" s="1092" t="s">
        <v>2620</v>
      </c>
      <c r="C4098" s="1092"/>
      <c r="D4098" s="1092"/>
      <c r="E4098" s="1092"/>
      <c r="F4098" s="1092"/>
      <c r="G4098" s="1092"/>
      <c r="H4098" s="1092"/>
    </row>
    <row r="4099" spans="1:8" ht="31.5">
      <c r="B4099" s="70" t="s">
        <v>3340</v>
      </c>
      <c r="C4099" s="70" t="s">
        <v>3341</v>
      </c>
      <c r="D4099" s="70" t="s">
        <v>3342</v>
      </c>
      <c r="E4099" s="70" t="s">
        <v>3343</v>
      </c>
      <c r="F4099" s="70" t="s">
        <v>3344</v>
      </c>
      <c r="G4099" s="70" t="s">
        <v>3345</v>
      </c>
      <c r="H4099" s="70" t="s">
        <v>1704</v>
      </c>
    </row>
    <row r="4100" spans="1:8" ht="20.100000000000001" customHeight="1">
      <c r="B4100" s="799" t="s">
        <v>1705</v>
      </c>
      <c r="C4100" s="799" t="s">
        <v>610</v>
      </c>
      <c r="D4100" s="48">
        <v>2.7E-2</v>
      </c>
      <c r="E4100" s="57" t="s">
        <v>1707</v>
      </c>
      <c r="F4100" s="111">
        <f>'update Rate'!F5</f>
        <v>525</v>
      </c>
      <c r="G4100" s="248">
        <f>FLOOR(D4100*F4100,0.01)</f>
        <v>14.17</v>
      </c>
      <c r="H4100" s="249"/>
    </row>
    <row r="4101" spans="1:8" ht="20.100000000000001" customHeight="1">
      <c r="B4101" s="64"/>
      <c r="C4101" s="58" t="s">
        <v>1647</v>
      </c>
      <c r="D4101" s="45">
        <v>0.04</v>
      </c>
      <c r="E4101" s="58" t="s">
        <v>1707</v>
      </c>
      <c r="F4101" s="65">
        <f>'update Rate'!F4</f>
        <v>375</v>
      </c>
      <c r="G4101" s="246">
        <f>FLOOR(D4101*F4101,0.01)</f>
        <v>15</v>
      </c>
      <c r="H4101" s="120">
        <f>G4100+G4101</f>
        <v>29.17</v>
      </c>
    </row>
    <row r="4102" spans="1:8" ht="20.100000000000001" customHeight="1">
      <c r="F4102" s="42" t="s">
        <v>1708</v>
      </c>
      <c r="G4102" s="110"/>
      <c r="H4102" s="103">
        <f>SUM(H4101:H4101)</f>
        <v>29.17</v>
      </c>
    </row>
    <row r="4103" spans="1:8" ht="15.75">
      <c r="B4103" s="1" t="s">
        <v>1710</v>
      </c>
      <c r="F4103" s="42" t="s">
        <v>1689</v>
      </c>
      <c r="G4103" s="110"/>
      <c r="H4103" s="103">
        <f>FLOOR(H4102*0.15,0.01)</f>
        <v>4.37</v>
      </c>
    </row>
    <row r="4104" spans="1:8" ht="17.25">
      <c r="B4104" s="103">
        <f>H4104</f>
        <v>33.54</v>
      </c>
      <c r="C4104" s="233"/>
      <c r="D4104" s="209"/>
      <c r="F4104" s="42" t="s">
        <v>1711</v>
      </c>
      <c r="G4104" s="110"/>
      <c r="H4104" s="103">
        <f>SUM(H4102:H4103)</f>
        <v>33.54</v>
      </c>
    </row>
    <row r="4105" spans="1:8" ht="17.25">
      <c r="A4105" s="159" t="s">
        <v>1941</v>
      </c>
      <c r="B4105" s="151"/>
      <c r="C4105" s="233"/>
      <c r="D4105" s="209"/>
      <c r="F4105" s="42"/>
      <c r="G4105" s="110"/>
      <c r="H4105" s="151"/>
    </row>
    <row r="4106" spans="1:8" ht="17.25">
      <c r="B4106" s="151"/>
      <c r="C4106" s="233"/>
      <c r="D4106" s="209"/>
      <c r="F4106" s="42"/>
      <c r="G4106" s="110"/>
      <c r="H4106" s="151"/>
    </row>
    <row r="4107" spans="1:8" ht="17.25">
      <c r="B4107" s="151"/>
      <c r="C4107" s="233"/>
      <c r="D4107" s="209"/>
      <c r="F4107" s="42"/>
      <c r="G4107" s="110"/>
      <c r="H4107" s="151"/>
    </row>
    <row r="4108" spans="1:8">
      <c r="A4108" s="33"/>
    </row>
    <row r="4109" spans="1:8" ht="19.5">
      <c r="A4109" s="282">
        <f>A4096+1</f>
        <v>265</v>
      </c>
      <c r="B4109" s="1077" t="s">
        <v>2286</v>
      </c>
      <c r="C4109" s="1077"/>
      <c r="D4109" s="1077"/>
      <c r="E4109" s="1077"/>
      <c r="F4109" s="1077"/>
      <c r="G4109" s="1077"/>
      <c r="H4109" s="1077"/>
    </row>
    <row r="4110" spans="1:8">
      <c r="A4110" s="1019"/>
      <c r="B4110" s="1074" t="s">
        <v>2288</v>
      </c>
      <c r="C4110" s="1075"/>
      <c r="D4110" s="1075"/>
      <c r="E4110" s="1075"/>
      <c r="F4110" s="1075"/>
      <c r="G4110" s="1075"/>
      <c r="H4110" s="1075"/>
    </row>
    <row r="4111" spans="1:8" ht="31.5">
      <c r="B4111" s="70" t="s">
        <v>3340</v>
      </c>
      <c r="C4111" s="70" t="s">
        <v>3341</v>
      </c>
      <c r="D4111" s="70" t="s">
        <v>3342</v>
      </c>
      <c r="E4111" s="70" t="s">
        <v>3343</v>
      </c>
      <c r="F4111" s="70" t="s">
        <v>3344</v>
      </c>
      <c r="G4111" s="70" t="s">
        <v>3345</v>
      </c>
      <c r="H4111" s="70" t="s">
        <v>1704</v>
      </c>
    </row>
    <row r="4112" spans="1:8" ht="17.25">
      <c r="B4112" s="1067" t="s">
        <v>2330</v>
      </c>
      <c r="C4112" s="805" t="s">
        <v>2287</v>
      </c>
      <c r="D4112" s="43">
        <v>10</v>
      </c>
      <c r="E4112" s="57" t="s">
        <v>3096</v>
      </c>
      <c r="F4112" s="113">
        <f>'update Rate'!F176</f>
        <v>115.5</v>
      </c>
      <c r="G4112" s="113">
        <f>FLOOR(D4112*F4112,0.01)</f>
        <v>1155</v>
      </c>
      <c r="H4112" s="8"/>
    </row>
    <row r="4113" spans="1:8" ht="21" customHeight="1">
      <c r="B4113" s="1105"/>
      <c r="C4113" s="807" t="s">
        <v>967</v>
      </c>
      <c r="D4113" s="45"/>
      <c r="E4113" s="15"/>
      <c r="F4113" s="126"/>
      <c r="G4113" s="126"/>
      <c r="H4113" s="170">
        <f>SUM(G4112)</f>
        <v>1155</v>
      </c>
    </row>
    <row r="4114" spans="1:8" ht="16.5">
      <c r="F4114" s="42" t="s">
        <v>1708</v>
      </c>
      <c r="G4114" s="106"/>
      <c r="H4114" s="65">
        <f>SUM(H4111:H4113)</f>
        <v>1155</v>
      </c>
    </row>
    <row r="4115" spans="1:8" ht="16.5">
      <c r="B4115" s="1" t="s">
        <v>2290</v>
      </c>
      <c r="F4115" s="42" t="s">
        <v>1688</v>
      </c>
      <c r="G4115" s="106"/>
      <c r="H4115" s="103">
        <f>FLOOR(H4114*0.15,0.01)</f>
        <v>173.25</v>
      </c>
    </row>
    <row r="4116" spans="1:8" ht="16.5">
      <c r="A4116" s="100"/>
      <c r="B4116" s="147">
        <f>+H4116</f>
        <v>1328.25</v>
      </c>
      <c r="C4116" s="28" t="s">
        <v>3384</v>
      </c>
      <c r="D4116" s="103">
        <f>INT(B4116/B4117*100)/100</f>
        <v>132.82</v>
      </c>
      <c r="E4116" s="1" t="s">
        <v>3385</v>
      </c>
      <c r="F4116" s="42" t="s">
        <v>1711</v>
      </c>
      <c r="G4116" s="106"/>
      <c r="H4116" s="103">
        <f>SUM(H4114:H4115)</f>
        <v>1328.25</v>
      </c>
    </row>
    <row r="4117" spans="1:8" ht="20.100000000000001" customHeight="1">
      <c r="B4117" s="121">
        <v>10</v>
      </c>
    </row>
    <row r="4120" spans="1:8" ht="19.5">
      <c r="A4120" s="282">
        <f>+A4109+1</f>
        <v>266</v>
      </c>
      <c r="B4120" s="1076" t="s">
        <v>3930</v>
      </c>
      <c r="C4120" s="1077"/>
      <c r="D4120" s="1077"/>
      <c r="E4120" s="1077"/>
      <c r="F4120" s="1077"/>
      <c r="G4120" s="1077"/>
      <c r="H4120" s="1077"/>
    </row>
    <row r="4121" spans="1:8">
      <c r="A4121" s="1019" t="s">
        <v>4489</v>
      </c>
      <c r="B4121" s="1075" t="s">
        <v>1594</v>
      </c>
      <c r="C4121" s="1075"/>
      <c r="D4121" s="1075"/>
      <c r="E4121" s="1075"/>
      <c r="F4121" s="1075"/>
      <c r="G4121" s="1075"/>
      <c r="H4121" s="1075"/>
    </row>
    <row r="4122" spans="1:8" ht="31.5">
      <c r="B4122" s="70" t="s">
        <v>3340</v>
      </c>
      <c r="C4122" s="70" t="s">
        <v>3341</v>
      </c>
      <c r="D4122" s="70" t="s">
        <v>3342</v>
      </c>
      <c r="E4122" s="70" t="s">
        <v>3343</v>
      </c>
      <c r="F4122" s="70" t="s">
        <v>3344</v>
      </c>
      <c r="G4122" s="70" t="s">
        <v>3345</v>
      </c>
      <c r="H4122" s="70" t="s">
        <v>1704</v>
      </c>
    </row>
    <row r="4123" spans="1:8" ht="31.5">
      <c r="B4123" s="1067" t="s">
        <v>2330</v>
      </c>
      <c r="C4123" s="805" t="s">
        <v>3933</v>
      </c>
      <c r="D4123" s="43">
        <v>10</v>
      </c>
      <c r="E4123" s="57" t="s">
        <v>3170</v>
      </c>
      <c r="F4123" s="113">
        <f>'update Rate'!F175</f>
        <v>2483.25</v>
      </c>
      <c r="G4123" s="113">
        <f>FLOOR(D4123*F4123,0.01)</f>
        <v>24832.5</v>
      </c>
      <c r="H4123" s="8"/>
    </row>
    <row r="4124" spans="1:8" ht="14.25" customHeight="1">
      <c r="B4124" s="1105"/>
      <c r="C4124" s="807"/>
      <c r="D4124" s="45"/>
      <c r="E4124" s="58"/>
      <c r="F4124" s="126"/>
      <c r="G4124" s="126"/>
      <c r="H4124" s="170">
        <f>SUM(G4123)</f>
        <v>24832.5</v>
      </c>
    </row>
    <row r="4125" spans="1:8" ht="20.100000000000001" customHeight="1">
      <c r="F4125" s="42" t="s">
        <v>1708</v>
      </c>
      <c r="G4125" s="106"/>
      <c r="H4125" s="65">
        <f>SUM(H4122:H4124)</f>
        <v>24832.5</v>
      </c>
    </row>
    <row r="4126" spans="1:8" ht="20.100000000000001" customHeight="1">
      <c r="B4126" s="1" t="s">
        <v>1710</v>
      </c>
      <c r="F4126" s="42" t="s">
        <v>1688</v>
      </c>
      <c r="G4126" s="106"/>
      <c r="H4126" s="103">
        <f>FLOOR(H4125*0.15,0.01)</f>
        <v>3724.87</v>
      </c>
    </row>
    <row r="4127" spans="1:8" ht="16.5">
      <c r="A4127" s="100"/>
      <c r="B4127" s="147">
        <f>+H4127</f>
        <v>28557.37</v>
      </c>
      <c r="C4127" s="28" t="s">
        <v>3384</v>
      </c>
      <c r="D4127" s="103">
        <f>INT(B4127/B4128*100)/100</f>
        <v>2855.73</v>
      </c>
      <c r="E4127" s="1" t="s">
        <v>3385</v>
      </c>
      <c r="F4127" s="42" t="s">
        <v>1711</v>
      </c>
      <c r="G4127" s="106"/>
      <c r="H4127" s="103">
        <f>SUM(H4125:H4126)</f>
        <v>28557.37</v>
      </c>
    </row>
    <row r="4128" spans="1:8" ht="20.100000000000001" customHeight="1">
      <c r="B4128" s="121">
        <v>10</v>
      </c>
      <c r="G4128" s="2"/>
      <c r="H4128" s="2"/>
    </row>
    <row r="4129" spans="1:8" ht="19.5" customHeight="1">
      <c r="A4129" s="1" t="s">
        <v>2965</v>
      </c>
      <c r="G4129" s="2"/>
      <c r="H4129" s="2"/>
    </row>
    <row r="4131" spans="1:8" ht="18" customHeight="1">
      <c r="A4131" s="282">
        <f>A4120+1</f>
        <v>267</v>
      </c>
      <c r="B4131" s="1077" t="s">
        <v>3931</v>
      </c>
      <c r="C4131" s="1077"/>
      <c r="D4131" s="1077"/>
      <c r="E4131" s="1077"/>
      <c r="F4131" s="1077"/>
      <c r="G4131" s="1077"/>
      <c r="H4131" s="1077"/>
    </row>
    <row r="4132" spans="1:8">
      <c r="A4132" s="1019" t="s">
        <v>4488</v>
      </c>
      <c r="B4132" s="1074" t="s">
        <v>1594</v>
      </c>
      <c r="C4132" s="1075"/>
      <c r="D4132" s="1075"/>
      <c r="E4132" s="1075"/>
      <c r="F4132" s="1075"/>
      <c r="G4132" s="1075"/>
      <c r="H4132" s="1075"/>
    </row>
    <row r="4133" spans="1:8" ht="31.5">
      <c r="B4133" s="70" t="s">
        <v>3340</v>
      </c>
      <c r="C4133" s="70" t="s">
        <v>3341</v>
      </c>
      <c r="D4133" s="70" t="s">
        <v>3342</v>
      </c>
      <c r="E4133" s="70" t="s">
        <v>3343</v>
      </c>
      <c r="F4133" s="70" t="s">
        <v>3344</v>
      </c>
      <c r="G4133" s="70" t="s">
        <v>3345</v>
      </c>
      <c r="H4133" s="70" t="s">
        <v>1704</v>
      </c>
    </row>
    <row r="4134" spans="1:8" ht="18" customHeight="1">
      <c r="B4134" s="1067" t="s">
        <v>2330</v>
      </c>
      <c r="C4134" s="805" t="s">
        <v>3932</v>
      </c>
      <c r="D4134" s="43">
        <v>10</v>
      </c>
      <c r="E4134" s="57" t="s">
        <v>3170</v>
      </c>
      <c r="F4134" s="113">
        <f>'update Rate'!F174</f>
        <v>1864.17</v>
      </c>
      <c r="G4134" s="113">
        <f>FLOOR(D4134*F4134,0.01)</f>
        <v>18641.7</v>
      </c>
      <c r="H4134" s="8"/>
    </row>
    <row r="4135" spans="1:8" ht="16.5">
      <c r="B4135" s="1105"/>
      <c r="C4135" s="807" t="s">
        <v>967</v>
      </c>
      <c r="D4135" s="45"/>
      <c r="E4135" s="15"/>
      <c r="F4135" s="126"/>
      <c r="G4135" s="126"/>
      <c r="H4135" s="170">
        <f>SUM(G4134)</f>
        <v>18641.7</v>
      </c>
    </row>
    <row r="4136" spans="1:8" ht="16.5">
      <c r="F4136" s="42" t="s">
        <v>1708</v>
      </c>
      <c r="G4136" s="106"/>
      <c r="H4136" s="65">
        <f>SUM(H4133:H4135)</f>
        <v>18641.7</v>
      </c>
    </row>
    <row r="4137" spans="1:8" ht="16.5">
      <c r="B4137" s="1" t="s">
        <v>1710</v>
      </c>
      <c r="F4137" s="42" t="s">
        <v>1688</v>
      </c>
      <c r="G4137" s="106"/>
      <c r="H4137" s="103">
        <f>FLOOR(H4136*0.15,0.01)</f>
        <v>2796.25</v>
      </c>
    </row>
    <row r="4138" spans="1:8" ht="21" customHeight="1">
      <c r="A4138" s="100"/>
      <c r="B4138" s="147">
        <f>+H4138</f>
        <v>21437.95</v>
      </c>
      <c r="C4138" s="28" t="s">
        <v>3384</v>
      </c>
      <c r="D4138" s="103">
        <f>INT(B4138/B4139*100)/100</f>
        <v>2143.79</v>
      </c>
      <c r="E4138" s="1" t="s">
        <v>3385</v>
      </c>
      <c r="F4138" s="42" t="s">
        <v>1711</v>
      </c>
      <c r="G4138" s="106"/>
      <c r="H4138" s="103">
        <f>SUM(H4136:H4137)</f>
        <v>21437.95</v>
      </c>
    </row>
    <row r="4139" spans="1:8" ht="19.5" customHeight="1">
      <c r="B4139" s="121">
        <v>10</v>
      </c>
    </row>
    <row r="4140" spans="1:8">
      <c r="A4140" s="1" t="s">
        <v>2964</v>
      </c>
    </row>
    <row r="4144" spans="1:8" ht="19.5" customHeight="1"/>
    <row r="4145" spans="1:8" ht="19.5">
      <c r="A4145" s="282">
        <f>A4131+1</f>
        <v>268</v>
      </c>
      <c r="B4145" s="1115" t="s">
        <v>3302</v>
      </c>
      <c r="C4145" s="1116"/>
      <c r="D4145" s="1116"/>
      <c r="E4145" s="1116"/>
      <c r="F4145" s="1116"/>
      <c r="G4145" s="1116"/>
      <c r="H4145" s="1116"/>
    </row>
    <row r="4146" spans="1:8">
      <c r="A4146" s="1019" t="s">
        <v>4490</v>
      </c>
      <c r="B4146" s="1075" t="s">
        <v>1594</v>
      </c>
      <c r="C4146" s="1075"/>
      <c r="D4146" s="1075"/>
      <c r="E4146" s="1075"/>
      <c r="F4146" s="1075"/>
      <c r="G4146" s="1075"/>
      <c r="H4146" s="1075"/>
    </row>
    <row r="4147" spans="1:8" ht="31.5">
      <c r="A4147" s="299"/>
      <c r="B4147" s="70" t="s">
        <v>3340</v>
      </c>
      <c r="C4147" s="70" t="s">
        <v>3341</v>
      </c>
      <c r="D4147" s="70" t="s">
        <v>3342</v>
      </c>
      <c r="E4147" s="70" t="s">
        <v>3343</v>
      </c>
      <c r="F4147" s="70" t="s">
        <v>3344</v>
      </c>
      <c r="G4147" s="70" t="s">
        <v>3345</v>
      </c>
      <c r="H4147" s="70" t="s">
        <v>1704</v>
      </c>
    </row>
    <row r="4148" spans="1:8" ht="20.100000000000001" customHeight="1">
      <c r="B4148" s="805" t="s">
        <v>1705</v>
      </c>
      <c r="C4148" s="805" t="s">
        <v>610</v>
      </c>
      <c r="D4148" s="48">
        <v>0.7</v>
      </c>
      <c r="E4148" s="57" t="s">
        <v>1707</v>
      </c>
      <c r="F4148" s="111">
        <f>'update Rate'!F5</f>
        <v>525</v>
      </c>
      <c r="G4148" s="248">
        <f>FLOOR(D4148*F4148,0.01)</f>
        <v>367.5</v>
      </c>
      <c r="H4148" s="249"/>
    </row>
    <row r="4149" spans="1:8" ht="20.100000000000001" customHeight="1">
      <c r="B4149" s="64"/>
      <c r="C4149" s="58" t="s">
        <v>1647</v>
      </c>
      <c r="D4149" s="45">
        <v>0.6</v>
      </c>
      <c r="E4149" s="58" t="s">
        <v>1707</v>
      </c>
      <c r="F4149" s="65">
        <f>'update Rate'!F4</f>
        <v>375</v>
      </c>
      <c r="G4149" s="246">
        <f>FLOOR(D4149*F4149,0.01)</f>
        <v>225</v>
      </c>
      <c r="H4149" s="120">
        <f>G4148+G4149</f>
        <v>592.5</v>
      </c>
    </row>
    <row r="4150" spans="1:8" ht="17.25">
      <c r="A4150" s="156"/>
      <c r="B4150" s="1067" t="s">
        <v>2330</v>
      </c>
      <c r="C4150" s="805" t="s">
        <v>2971</v>
      </c>
      <c r="D4150" s="43">
        <v>28.24</v>
      </c>
      <c r="E4150" s="57" t="s">
        <v>2970</v>
      </c>
      <c r="F4150" s="114">
        <f>'update Rate'!F176</f>
        <v>115.5</v>
      </c>
      <c r="G4150" s="114">
        <f>FLOOR(D4150*F4150,0.01)</f>
        <v>3261.7200000000003</v>
      </c>
      <c r="H4150" s="8"/>
    </row>
    <row r="4151" spans="1:8" ht="18" customHeight="1">
      <c r="A4151" s="156"/>
      <c r="B4151" s="1093"/>
      <c r="C4151" s="806" t="s">
        <v>2972</v>
      </c>
      <c r="D4151" s="44">
        <v>215</v>
      </c>
      <c r="E4151" s="55" t="s">
        <v>2970</v>
      </c>
      <c r="F4151" s="113">
        <f>+'update Rate'!F321</f>
        <v>77</v>
      </c>
      <c r="G4151" s="113">
        <f>FLOOR(D4151*F4151,0.01)</f>
        <v>16555</v>
      </c>
      <c r="H4151" s="9"/>
    </row>
    <row r="4152" spans="1:8" ht="18" customHeight="1">
      <c r="A4152" s="156"/>
      <c r="B4152" s="1099"/>
      <c r="C4152" s="807" t="s">
        <v>3934</v>
      </c>
      <c r="D4152" s="53"/>
      <c r="E4152" s="58"/>
      <c r="F4152" s="65"/>
      <c r="G4152" s="65"/>
      <c r="H4152" s="170">
        <f>SUM(G4150:G4152)</f>
        <v>19816.72</v>
      </c>
    </row>
    <row r="4153" spans="1:8" ht="18" customHeight="1">
      <c r="F4153" s="42" t="s">
        <v>1708</v>
      </c>
      <c r="G4153" s="106"/>
      <c r="H4153" s="65">
        <f>SUM(H4147:H4152)</f>
        <v>20409.22</v>
      </c>
    </row>
    <row r="4154" spans="1:8" ht="16.5">
      <c r="B4154" s="1" t="s">
        <v>1710</v>
      </c>
      <c r="F4154" s="42" t="s">
        <v>1688</v>
      </c>
      <c r="G4154" s="106"/>
      <c r="H4154" s="103">
        <f>FLOOR(H4153*0.15,0.01)</f>
        <v>3061.38</v>
      </c>
    </row>
    <row r="4155" spans="1:8" ht="16.5">
      <c r="A4155"/>
      <c r="B4155" s="147">
        <f>+H4155</f>
        <v>23470.600000000002</v>
      </c>
      <c r="C4155" s="28" t="s">
        <v>3384</v>
      </c>
      <c r="D4155" s="103">
        <f>INT(B4155/B4156*100)/100</f>
        <v>2347.06</v>
      </c>
      <c r="E4155" s="1" t="s">
        <v>3385</v>
      </c>
      <c r="F4155" s="42" t="s">
        <v>1711</v>
      </c>
      <c r="G4155" s="106"/>
      <c r="H4155" s="103">
        <f>SUM(H4153:H4154)</f>
        <v>23470.600000000002</v>
      </c>
    </row>
    <row r="4156" spans="1:8">
      <c r="B4156" s="121">
        <v>10</v>
      </c>
      <c r="G4156" s="2"/>
      <c r="H4156" s="2"/>
    </row>
    <row r="4157" spans="1:8" ht="21" customHeight="1">
      <c r="A4157" s="1" t="s">
        <v>2965</v>
      </c>
      <c r="G4157" s="2"/>
      <c r="H4157" s="2"/>
    </row>
    <row r="4158" spans="1:8" ht="21" customHeight="1">
      <c r="G4158" s="2"/>
      <c r="H4158" s="2"/>
    </row>
    <row r="4159" spans="1:8" ht="21" customHeight="1">
      <c r="G4159" s="2"/>
      <c r="H4159" s="2"/>
    </row>
    <row r="4160" spans="1:8" ht="21" customHeight="1">
      <c r="G4160" s="2"/>
      <c r="H4160" s="2"/>
    </row>
    <row r="4161" spans="1:8" ht="19.5" customHeight="1"/>
    <row r="4162" spans="1:8" ht="19.5">
      <c r="A4162" s="282">
        <f>A4145+1</f>
        <v>269</v>
      </c>
      <c r="B4162" s="1089" t="s">
        <v>1207</v>
      </c>
      <c r="C4162" s="1089"/>
      <c r="D4162" s="1089"/>
      <c r="E4162" s="1089"/>
      <c r="F4162" s="1089"/>
      <c r="G4162" s="1089"/>
      <c r="H4162" s="1089"/>
    </row>
    <row r="4163" spans="1:8" ht="19.5" customHeight="1">
      <c r="A4163" s="1019" t="s">
        <v>4491</v>
      </c>
      <c r="B4163" s="1092" t="s">
        <v>2386</v>
      </c>
      <c r="C4163" s="1092"/>
      <c r="D4163" s="1092"/>
      <c r="E4163" s="1092"/>
      <c r="F4163" s="1092"/>
      <c r="G4163" s="1092"/>
      <c r="H4163" s="1092"/>
    </row>
    <row r="4164" spans="1:8" ht="19.5" customHeight="1">
      <c r="B4164" s="70" t="s">
        <v>3340</v>
      </c>
      <c r="C4164" s="70" t="s">
        <v>3341</v>
      </c>
      <c r="D4164" s="70" t="s">
        <v>3342</v>
      </c>
      <c r="E4164" s="70" t="s">
        <v>3343</v>
      </c>
      <c r="F4164" s="70" t="s">
        <v>3344</v>
      </c>
      <c r="G4164" s="70" t="s">
        <v>3345</v>
      </c>
      <c r="H4164" s="70" t="s">
        <v>1704</v>
      </c>
    </row>
    <row r="4165" spans="1:8" ht="17.25">
      <c r="B4165" s="60" t="s">
        <v>1705</v>
      </c>
      <c r="C4165" s="60" t="s">
        <v>2899</v>
      </c>
      <c r="D4165" s="48">
        <v>0.68700000000000006</v>
      </c>
      <c r="E4165" s="57" t="s">
        <v>1707</v>
      </c>
      <c r="F4165" s="111">
        <f>'update Rate'!F5</f>
        <v>525</v>
      </c>
      <c r="G4165" s="111">
        <f>FLOOR(D4165*F4165,0.01)</f>
        <v>360.67</v>
      </c>
      <c r="H4165" s="111"/>
    </row>
    <row r="4166" spans="1:8" ht="17.25">
      <c r="B4166" s="64"/>
      <c r="C4166" s="55" t="s">
        <v>2176</v>
      </c>
      <c r="D4166" s="54">
        <v>0.78100000000000003</v>
      </c>
      <c r="E4166" s="55" t="s">
        <v>1707</v>
      </c>
      <c r="F4166" s="65">
        <f>'update Rate'!F4</f>
        <v>375</v>
      </c>
      <c r="G4166" s="126">
        <f>FLOOR(D4166*F4166,0.01)</f>
        <v>292.87</v>
      </c>
      <c r="H4166" s="126">
        <f>SUM(G4165:G4166)</f>
        <v>653.54</v>
      </c>
    </row>
    <row r="4167" spans="1:8" ht="17.25">
      <c r="B4167" s="1107" t="s">
        <v>2330</v>
      </c>
      <c r="C4167" s="57" t="s">
        <v>2387</v>
      </c>
      <c r="D4167" s="43"/>
      <c r="E4167" s="57"/>
      <c r="F4167" s="111"/>
      <c r="G4167" s="111"/>
      <c r="H4167" s="214"/>
    </row>
    <row r="4168" spans="1:8" ht="17.25">
      <c r="B4168" s="1108"/>
      <c r="C4168" s="55" t="s">
        <v>2388</v>
      </c>
      <c r="D4168" s="54">
        <v>18.940000000000001</v>
      </c>
      <c r="E4168" s="55" t="s">
        <v>3096</v>
      </c>
      <c r="F4168" s="113">
        <f>'update Rate'!F316</f>
        <v>77</v>
      </c>
      <c r="G4168" s="120">
        <f>FLOOR(D4168*F4168,0.01)</f>
        <v>1458.38</v>
      </c>
      <c r="H4168" s="214"/>
    </row>
    <row r="4169" spans="1:8" ht="18" customHeight="1">
      <c r="B4169" s="1109"/>
      <c r="C4169" s="232" t="s">
        <v>2344</v>
      </c>
      <c r="D4169" s="51" t="s">
        <v>436</v>
      </c>
      <c r="E4169" s="216" t="s">
        <v>3171</v>
      </c>
      <c r="F4169" s="65"/>
      <c r="G4169" s="126">
        <v>110</v>
      </c>
      <c r="H4169" s="65">
        <f>SUM(G4168:G4169)</f>
        <v>1568.38</v>
      </c>
    </row>
    <row r="4170" spans="1:8" ht="15.75">
      <c r="F4170" s="42" t="s">
        <v>1708</v>
      </c>
      <c r="G4170" s="42"/>
      <c r="H4170" s="103">
        <f>SUM(H4166:H4169)</f>
        <v>2221.92</v>
      </c>
    </row>
    <row r="4171" spans="1:8" ht="15.75">
      <c r="B4171" s="33" t="s">
        <v>2389</v>
      </c>
      <c r="F4171" s="42" t="s">
        <v>1689</v>
      </c>
      <c r="G4171" s="42"/>
      <c r="H4171" s="103">
        <f>FLOOR(H4170*0.15,0.01)</f>
        <v>333.28000000000003</v>
      </c>
    </row>
    <row r="4172" spans="1:8" ht="18" customHeight="1">
      <c r="B4172" s="151">
        <f>+H4172</f>
        <v>2555.2000000000003</v>
      </c>
      <c r="C4172" s="233" t="s">
        <v>3384</v>
      </c>
      <c r="D4172" s="103">
        <f>FLOOR(B4172/B4173,0.01)</f>
        <v>134.91</v>
      </c>
      <c r="E4172" s="1" t="s">
        <v>3385</v>
      </c>
      <c r="F4172" s="42" t="s">
        <v>1711</v>
      </c>
      <c r="G4172" s="42"/>
      <c r="H4172" s="103">
        <f>SUM(H4170:H4171)</f>
        <v>2555.2000000000003</v>
      </c>
    </row>
    <row r="4173" spans="1:8" ht="18" customHeight="1">
      <c r="B4173" s="234">
        <v>18.940000000000001</v>
      </c>
      <c r="F4173" s="42"/>
      <c r="G4173" s="42"/>
      <c r="H4173" s="19"/>
    </row>
    <row r="4174" spans="1:8" ht="18" customHeight="1">
      <c r="B4174" s="209"/>
      <c r="F4174" s="42"/>
      <c r="G4174" s="42"/>
      <c r="H4174" s="19"/>
    </row>
    <row r="4175" spans="1:8" ht="18" customHeight="1">
      <c r="A4175" s="145">
        <f>A4162+1</f>
        <v>270</v>
      </c>
      <c r="B4175" s="1089" t="s">
        <v>1003</v>
      </c>
      <c r="C4175" s="1089"/>
      <c r="D4175" s="1089"/>
      <c r="E4175" s="1089"/>
      <c r="F4175" s="1089"/>
      <c r="G4175" s="1089"/>
      <c r="H4175" s="1089"/>
    </row>
    <row r="4176" spans="1:8" ht="18" customHeight="1">
      <c r="A4176" s="1019" t="s">
        <v>4492</v>
      </c>
      <c r="B4176" s="1177" t="s">
        <v>1002</v>
      </c>
      <c r="C4176" s="1089"/>
      <c r="D4176" s="1089"/>
      <c r="E4176" s="1089"/>
      <c r="F4176" s="1089"/>
      <c r="G4176" s="1089"/>
      <c r="H4176" s="1089"/>
    </row>
    <row r="4177" spans="1:8" ht="18" customHeight="1">
      <c r="A4177" s="25"/>
      <c r="B4177" s="1089" t="s">
        <v>1586</v>
      </c>
      <c r="C4177" s="1089"/>
      <c r="D4177" s="1089"/>
      <c r="E4177" s="1089"/>
      <c r="F4177" s="1089"/>
      <c r="G4177" s="1089"/>
      <c r="H4177" s="1089"/>
    </row>
    <row r="4178" spans="1:8" ht="18">
      <c r="B4178" s="1092" t="s">
        <v>3935</v>
      </c>
      <c r="C4178" s="1092"/>
      <c r="D4178" s="1092"/>
      <c r="E4178" s="1092"/>
      <c r="F4178" s="1092"/>
      <c r="G4178" s="1092"/>
      <c r="H4178" s="1092"/>
    </row>
    <row r="4179" spans="1:8" ht="31.5">
      <c r="B4179" s="70" t="s">
        <v>3340</v>
      </c>
      <c r="C4179" s="70" t="s">
        <v>3341</v>
      </c>
      <c r="D4179" s="70" t="s">
        <v>3342</v>
      </c>
      <c r="E4179" s="70" t="s">
        <v>3343</v>
      </c>
      <c r="F4179" s="70" t="s">
        <v>3344</v>
      </c>
      <c r="G4179" s="70" t="s">
        <v>3345</v>
      </c>
      <c r="H4179" s="70" t="s">
        <v>1704</v>
      </c>
    </row>
    <row r="4180" spans="1:8" ht="17.25">
      <c r="B4180" s="252" t="s">
        <v>2330</v>
      </c>
      <c r="C4180" s="57" t="s">
        <v>501</v>
      </c>
      <c r="D4180" s="43">
        <v>1</v>
      </c>
      <c r="E4180" s="243" t="s">
        <v>2938</v>
      </c>
      <c r="F4180" s="114">
        <f>'update Rate'!F204</f>
        <v>7937.6</v>
      </c>
      <c r="G4180" s="113">
        <f>FLOOR(D4180*F4180,0.01)</f>
        <v>7937.6</v>
      </c>
      <c r="H4180" s="214"/>
    </row>
    <row r="4181" spans="1:8" ht="15.75">
      <c r="B4181" s="84" t="s">
        <v>424</v>
      </c>
      <c r="C4181" s="253"/>
      <c r="D4181" s="216"/>
      <c r="E4181" s="216"/>
      <c r="F4181" s="253"/>
      <c r="G4181" s="254"/>
      <c r="H4181" s="65">
        <f>SUM(G4180)</f>
        <v>7937.6</v>
      </c>
    </row>
    <row r="4182" spans="1:8" ht="15.75">
      <c r="F4182" s="42" t="s">
        <v>1708</v>
      </c>
      <c r="G4182" s="42"/>
      <c r="H4182" s="103">
        <f>SUM(H4180:H4181)</f>
        <v>7937.6</v>
      </c>
    </row>
    <row r="4183" spans="1:8" ht="15.75">
      <c r="B4183" s="1" t="s">
        <v>1538</v>
      </c>
      <c r="F4183" s="42" t="s">
        <v>1689</v>
      </c>
      <c r="G4183" s="42"/>
      <c r="H4183" s="103">
        <f>FLOOR(H4182*0.15,0.01)</f>
        <v>1190.6400000000001</v>
      </c>
    </row>
    <row r="4184" spans="1:8" ht="17.25">
      <c r="B4184" s="255">
        <f>H4184</f>
        <v>9128.24</v>
      </c>
      <c r="C4184" s="233" t="s">
        <v>3384</v>
      </c>
      <c r="D4184" s="103">
        <f>FLOOR(B4184/B4185,0.01)</f>
        <v>9128.24</v>
      </c>
      <c r="E4184" s="1" t="s">
        <v>3385</v>
      </c>
      <c r="F4184" s="42" t="s">
        <v>1711</v>
      </c>
      <c r="G4184" s="42"/>
      <c r="H4184" s="103">
        <f>SUM(H4182:H4183)</f>
        <v>9128.24</v>
      </c>
    </row>
    <row r="4185" spans="1:8" ht="17.25">
      <c r="B4185" s="234">
        <v>1</v>
      </c>
      <c r="C4185" s="233"/>
      <c r="D4185" s="209"/>
      <c r="F4185" s="42"/>
      <c r="G4185" s="42"/>
      <c r="H4185" s="19"/>
    </row>
    <row r="4187" spans="1:8" ht="18" customHeight="1">
      <c r="A4187" s="282">
        <f>A4175+1</f>
        <v>271</v>
      </c>
      <c r="B4187" s="1076" t="s">
        <v>1000</v>
      </c>
      <c r="C4187" s="1077"/>
      <c r="D4187" s="1077"/>
      <c r="E4187" s="1077"/>
      <c r="F4187" s="1077"/>
      <c r="G4187" s="1077"/>
      <c r="H4187" s="1077"/>
    </row>
    <row r="4188" spans="1:8" ht="18" customHeight="1">
      <c r="A4188" s="1019" t="s">
        <v>4493</v>
      </c>
      <c r="B4188" s="1075" t="s">
        <v>1594</v>
      </c>
      <c r="C4188" s="1075"/>
      <c r="D4188" s="1075"/>
      <c r="E4188" s="1075"/>
      <c r="F4188" s="1075"/>
      <c r="G4188" s="1075"/>
      <c r="H4188" s="1075"/>
    </row>
    <row r="4189" spans="1:8" ht="31.5">
      <c r="B4189" s="70" t="s">
        <v>3340</v>
      </c>
      <c r="C4189" s="70" t="s">
        <v>3341</v>
      </c>
      <c r="D4189" s="70" t="s">
        <v>3342</v>
      </c>
      <c r="E4189" s="70" t="s">
        <v>3343</v>
      </c>
      <c r="F4189" s="70" t="s">
        <v>3344</v>
      </c>
      <c r="G4189" s="70" t="s">
        <v>3345</v>
      </c>
      <c r="H4189" s="70" t="s">
        <v>1704</v>
      </c>
    </row>
    <row r="4190" spans="1:8" ht="17.25">
      <c r="B4190" s="60" t="s">
        <v>2330</v>
      </c>
      <c r="C4190" s="60" t="s">
        <v>1093</v>
      </c>
      <c r="D4190" s="43">
        <v>10</v>
      </c>
      <c r="E4190" s="169" t="s">
        <v>3170</v>
      </c>
      <c r="F4190" s="113">
        <f>'update Rate'!F181</f>
        <v>3077.36</v>
      </c>
      <c r="G4190" s="168">
        <f>FLOOR(D4190*F4190,0.01)</f>
        <v>30773.600000000002</v>
      </c>
      <c r="H4190" s="8"/>
    </row>
    <row r="4191" spans="1:8" ht="15.75">
      <c r="B4191" s="80"/>
      <c r="C4191" s="10"/>
      <c r="D4191" s="17"/>
      <c r="E4191" s="58"/>
      <c r="F4191" s="126"/>
      <c r="G4191" s="126"/>
      <c r="H4191" s="170">
        <f>SUM(G4190)</f>
        <v>30773.600000000002</v>
      </c>
    </row>
    <row r="4192" spans="1:8" ht="16.5">
      <c r="F4192" s="42" t="s">
        <v>1708</v>
      </c>
      <c r="G4192" s="106"/>
      <c r="H4192" s="65">
        <f>SUM(H4189:H4191)</f>
        <v>30773.600000000002</v>
      </c>
    </row>
    <row r="4193" spans="1:8" ht="16.5">
      <c r="B4193" s="1" t="s">
        <v>1710</v>
      </c>
      <c r="F4193" s="42" t="s">
        <v>1688</v>
      </c>
      <c r="G4193" s="106"/>
      <c r="H4193" s="103">
        <f>FLOOR(H4192*0.15,0.01)</f>
        <v>4616.04</v>
      </c>
    </row>
    <row r="4194" spans="1:8" ht="18" customHeight="1">
      <c r="A4194"/>
      <c r="B4194" s="147">
        <f>+H4194</f>
        <v>35389.64</v>
      </c>
      <c r="C4194" s="28" t="s">
        <v>3384</v>
      </c>
      <c r="D4194" s="103">
        <f>INT(B4194/B4195*100)/100</f>
        <v>3538.96</v>
      </c>
      <c r="E4194" s="1" t="s">
        <v>3385</v>
      </c>
      <c r="F4194" s="42" t="s">
        <v>1711</v>
      </c>
      <c r="G4194" s="106"/>
      <c r="H4194" s="103">
        <f>SUM(H4192:H4193)</f>
        <v>35389.64</v>
      </c>
    </row>
    <row r="4195" spans="1:8" ht="18" customHeight="1">
      <c r="B4195" s="121">
        <v>10</v>
      </c>
    </row>
    <row r="4196" spans="1:8">
      <c r="A4196" s="31" t="s">
        <v>3405</v>
      </c>
    </row>
    <row r="4197" spans="1:8" ht="18" customHeight="1">
      <c r="B4197" s="209"/>
      <c r="F4197" s="42"/>
      <c r="G4197" s="42"/>
      <c r="H4197" s="19"/>
    </row>
    <row r="4198" spans="1:8" ht="18" customHeight="1"/>
    <row r="4199" spans="1:8" ht="18" customHeight="1">
      <c r="A4199" s="282">
        <f>A4187+1</f>
        <v>272</v>
      </c>
      <c r="B4199" s="1076" t="s">
        <v>1084</v>
      </c>
      <c r="C4199" s="1077"/>
      <c r="D4199" s="1077"/>
      <c r="E4199" s="1077"/>
      <c r="F4199" s="1077"/>
      <c r="G4199" s="1077"/>
      <c r="H4199" s="1077"/>
    </row>
    <row r="4200" spans="1:8">
      <c r="A4200" s="1019" t="s">
        <v>4494</v>
      </c>
      <c r="B4200" s="1075" t="s">
        <v>1594</v>
      </c>
      <c r="C4200" s="1075"/>
      <c r="D4200" s="1075"/>
      <c r="E4200" s="1075"/>
      <c r="F4200" s="1075"/>
      <c r="G4200" s="1075"/>
      <c r="H4200" s="1075"/>
    </row>
    <row r="4201" spans="1:8" ht="20.100000000000001" customHeight="1">
      <c r="B4201" s="70" t="s">
        <v>3340</v>
      </c>
      <c r="C4201" s="70" t="s">
        <v>3341</v>
      </c>
      <c r="D4201" s="70" t="s">
        <v>3342</v>
      </c>
      <c r="E4201" s="70" t="s">
        <v>3343</v>
      </c>
      <c r="F4201" s="70" t="s">
        <v>3344</v>
      </c>
      <c r="G4201" s="70" t="s">
        <v>3345</v>
      </c>
      <c r="H4201" s="70" t="s">
        <v>1704</v>
      </c>
    </row>
    <row r="4202" spans="1:8" ht="17.25">
      <c r="B4202" s="60" t="s">
        <v>2330</v>
      </c>
      <c r="C4202" s="60" t="s">
        <v>1092</v>
      </c>
      <c r="D4202" s="43">
        <v>10</v>
      </c>
      <c r="E4202" s="57" t="s">
        <v>3170</v>
      </c>
      <c r="F4202" s="113">
        <f>'update Rate'!F179</f>
        <v>4379.32</v>
      </c>
      <c r="G4202" s="113">
        <f>FLOOR(D4202*F4202,0.01)</f>
        <v>43793.200000000004</v>
      </c>
      <c r="H4202" s="168">
        <f>SUM(G4202)</f>
        <v>43793.200000000004</v>
      </c>
    </row>
    <row r="4203" spans="1:8" ht="17.25">
      <c r="B4203" s="80"/>
      <c r="C4203" s="80"/>
      <c r="D4203" s="45"/>
      <c r="E4203" s="58"/>
      <c r="F4203" s="126"/>
      <c r="G4203" s="126"/>
      <c r="H4203" s="127"/>
    </row>
    <row r="4204" spans="1:8" ht="16.5">
      <c r="F4204" s="42" t="s">
        <v>1708</v>
      </c>
      <c r="G4204" s="106"/>
      <c r="H4204" s="65">
        <f>SUM(H4201:H4203)</f>
        <v>43793.200000000004</v>
      </c>
    </row>
    <row r="4205" spans="1:8" ht="16.5">
      <c r="B4205" s="1" t="s">
        <v>1710</v>
      </c>
      <c r="F4205" s="42" t="s">
        <v>1688</v>
      </c>
      <c r="G4205" s="106"/>
      <c r="H4205" s="103">
        <f>FLOOR(H4204*0.15,0.01)</f>
        <v>6568.9800000000005</v>
      </c>
    </row>
    <row r="4206" spans="1:8" ht="16.5">
      <c r="A4206"/>
      <c r="B4206" s="147">
        <f>+H4206</f>
        <v>50362.180000000008</v>
      </c>
      <c r="C4206" s="28" t="s">
        <v>3384</v>
      </c>
      <c r="D4206" s="103">
        <f>INT(B4206/B4207*100)/100</f>
        <v>5036.21</v>
      </c>
      <c r="E4206" s="1" t="s">
        <v>3385</v>
      </c>
      <c r="F4206" s="42" t="s">
        <v>1711</v>
      </c>
      <c r="G4206" s="106"/>
      <c r="H4206" s="103">
        <f>SUM(H4204:H4205)</f>
        <v>50362.180000000008</v>
      </c>
    </row>
    <row r="4207" spans="1:8" ht="20.100000000000001" customHeight="1">
      <c r="A4207" s="28"/>
      <c r="B4207" s="121">
        <v>10</v>
      </c>
      <c r="H4207" s="19"/>
    </row>
    <row r="4208" spans="1:8" ht="20.100000000000001" customHeight="1">
      <c r="A4208" s="28"/>
      <c r="B4208" s="121"/>
      <c r="H4208" s="19"/>
    </row>
    <row r="4209" spans="1:8" ht="20.100000000000001" customHeight="1"/>
    <row r="4210" spans="1:8" ht="18" customHeight="1">
      <c r="A4210" s="282">
        <f>A4199+1</f>
        <v>273</v>
      </c>
      <c r="B4210" s="1076" t="s">
        <v>3936</v>
      </c>
      <c r="C4210" s="1077"/>
      <c r="D4210" s="1077"/>
      <c r="E4210" s="1077"/>
      <c r="F4210" s="1077"/>
      <c r="G4210" s="1077"/>
      <c r="H4210" s="1077"/>
    </row>
    <row r="4211" spans="1:8" ht="20.25" customHeight="1">
      <c r="A4211" s="1019" t="s">
        <v>4495</v>
      </c>
      <c r="B4211" s="1075" t="s">
        <v>1675</v>
      </c>
      <c r="C4211" s="1075"/>
      <c r="D4211" s="1075"/>
      <c r="E4211" s="1075"/>
      <c r="F4211" s="1075"/>
      <c r="G4211" s="1075"/>
      <c r="H4211" s="1075"/>
    </row>
    <row r="4212" spans="1:8" ht="39.75" customHeight="1">
      <c r="B4212" s="70" t="s">
        <v>3340</v>
      </c>
      <c r="C4212" s="70" t="s">
        <v>3341</v>
      </c>
      <c r="D4212" s="70" t="s">
        <v>3342</v>
      </c>
      <c r="E4212" s="70" t="s">
        <v>3343</v>
      </c>
      <c r="F4212" s="70" t="s">
        <v>3344</v>
      </c>
      <c r="G4212" s="70" t="s">
        <v>3345</v>
      </c>
      <c r="H4212" s="70" t="s">
        <v>1704</v>
      </c>
    </row>
    <row r="4213" spans="1:8" ht="17.25">
      <c r="B4213" s="60" t="s">
        <v>2330</v>
      </c>
      <c r="C4213" s="60" t="s">
        <v>1092</v>
      </c>
      <c r="D4213" s="43">
        <v>10</v>
      </c>
      <c r="E4213" s="169" t="s">
        <v>3170</v>
      </c>
      <c r="F4213" s="113">
        <f>'update Rate'!F180</f>
        <v>5918</v>
      </c>
      <c r="G4213" s="113">
        <f>FLOOR(D4213*F4213,0.01)</f>
        <v>59180</v>
      </c>
      <c r="H4213" s="8"/>
    </row>
    <row r="4214" spans="1:8" ht="12.75" customHeight="1">
      <c r="B4214" s="80"/>
      <c r="C4214" s="80"/>
      <c r="D4214" s="45"/>
      <c r="E4214" s="15"/>
      <c r="F4214" s="126"/>
      <c r="G4214" s="126"/>
      <c r="H4214" s="65">
        <f>SUM(G4213)</f>
        <v>59180</v>
      </c>
    </row>
    <row r="4215" spans="1:8" ht="16.5">
      <c r="F4215" s="42" t="s">
        <v>1708</v>
      </c>
      <c r="G4215" s="106"/>
      <c r="H4215" s="65">
        <f>SUM(H4212:H4214)</f>
        <v>59180</v>
      </c>
    </row>
    <row r="4216" spans="1:8" ht="16.5">
      <c r="B4216" s="1" t="s">
        <v>1710</v>
      </c>
      <c r="F4216" s="42" t="s">
        <v>1688</v>
      </c>
      <c r="G4216" s="106"/>
      <c r="H4216" s="103">
        <f>FLOOR(H4215*0.15,0.01)</f>
        <v>8877</v>
      </c>
    </row>
    <row r="4217" spans="1:8" ht="16.5">
      <c r="A4217"/>
      <c r="B4217" s="147">
        <f>+H4217</f>
        <v>68057</v>
      </c>
      <c r="C4217" s="28" t="s">
        <v>3384</v>
      </c>
      <c r="D4217" s="103">
        <f>INT(B4217/B4218*100)/100</f>
        <v>6805.7</v>
      </c>
      <c r="E4217" s="1" t="s">
        <v>3385</v>
      </c>
      <c r="F4217" s="42" t="s">
        <v>1711</v>
      </c>
      <c r="G4217" s="106"/>
      <c r="H4217" s="103">
        <f>SUM(H4215:H4216)</f>
        <v>68057</v>
      </c>
    </row>
    <row r="4218" spans="1:8">
      <c r="B4218" s="121">
        <v>10</v>
      </c>
    </row>
    <row r="4219" spans="1:8">
      <c r="A4219" s="159"/>
    </row>
    <row r="4221" spans="1:8" ht="19.5">
      <c r="A4221" s="282">
        <f>+A4210+1</f>
        <v>274</v>
      </c>
      <c r="B4221" s="1076" t="s">
        <v>1797</v>
      </c>
      <c r="C4221" s="1077"/>
      <c r="D4221" s="1077"/>
      <c r="E4221" s="1077"/>
      <c r="F4221" s="1077"/>
      <c r="G4221" s="1077"/>
      <c r="H4221" s="1077"/>
    </row>
    <row r="4222" spans="1:8">
      <c r="A4222" s="1019" t="s">
        <v>4496</v>
      </c>
      <c r="B4222" s="1074" t="s">
        <v>1603</v>
      </c>
      <c r="C4222" s="1075"/>
      <c r="D4222" s="1075"/>
      <c r="E4222" s="1075"/>
      <c r="F4222" s="1075"/>
      <c r="G4222" s="1075"/>
      <c r="H4222" s="1075"/>
    </row>
    <row r="4223" spans="1:8" ht="31.5">
      <c r="B4223" s="70" t="s">
        <v>3340</v>
      </c>
      <c r="C4223" s="70" t="s">
        <v>3341</v>
      </c>
      <c r="D4223" s="70" t="s">
        <v>3342</v>
      </c>
      <c r="E4223" s="70" t="s">
        <v>3343</v>
      </c>
      <c r="F4223" s="70" t="s">
        <v>3344</v>
      </c>
      <c r="G4223" s="70" t="s">
        <v>3345</v>
      </c>
      <c r="H4223" s="70" t="s">
        <v>1704</v>
      </c>
    </row>
    <row r="4224" spans="1:8" ht="20.100000000000001" customHeight="1">
      <c r="B4224" s="1067" t="s">
        <v>1705</v>
      </c>
      <c r="C4224" s="805" t="s">
        <v>790</v>
      </c>
      <c r="D4224" s="48">
        <v>1.0760000000000001</v>
      </c>
      <c r="E4224" s="11" t="s">
        <v>1643</v>
      </c>
      <c r="F4224" s="111">
        <f>'update Rate'!F5</f>
        <v>525</v>
      </c>
      <c r="G4224" s="111">
        <f>FLOOR(D4224*F4224,0.01)</f>
        <v>564.9</v>
      </c>
      <c r="H4224" s="808"/>
    </row>
    <row r="4225" spans="1:8" ht="20.100000000000001" customHeight="1">
      <c r="B4225" s="1105"/>
      <c r="C4225" s="806" t="s">
        <v>615</v>
      </c>
      <c r="D4225" s="45">
        <v>5.38</v>
      </c>
      <c r="E4225" s="806" t="s">
        <v>1643</v>
      </c>
      <c r="F4225" s="120">
        <f>'update Rate'!F4</f>
        <v>375</v>
      </c>
      <c r="G4225" s="65">
        <f>FLOOR(D4225*F4225,0.01)</f>
        <v>2017.5</v>
      </c>
      <c r="H4225" s="809">
        <f>SUM(G4224+G4225)</f>
        <v>2582.4</v>
      </c>
    </row>
    <row r="4226" spans="1:8" ht="17.25">
      <c r="B4226" s="1067" t="s">
        <v>2330</v>
      </c>
      <c r="C4226" s="805" t="s">
        <v>1798</v>
      </c>
      <c r="D4226" s="43">
        <v>110</v>
      </c>
      <c r="E4226" s="57" t="s">
        <v>3243</v>
      </c>
      <c r="F4226" s="111">
        <f>giwar</f>
        <v>13.24</v>
      </c>
      <c r="G4226" s="114">
        <f>FLOOR(D4226*F4226,0.01)</f>
        <v>1456.4</v>
      </c>
      <c r="H4226" s="9"/>
    </row>
    <row r="4227" spans="1:8" ht="20.100000000000001" customHeight="1">
      <c r="B4227" s="1119"/>
      <c r="C4227" s="83" t="s">
        <v>1799</v>
      </c>
      <c r="D4227" s="52"/>
      <c r="E4227" s="55"/>
      <c r="F4227" s="120"/>
      <c r="G4227" s="120"/>
      <c r="H4227" s="9"/>
    </row>
    <row r="4228" spans="1:8" ht="20.100000000000001" customHeight="1">
      <c r="B4228" s="1105"/>
      <c r="C4228" s="807" t="s">
        <v>3242</v>
      </c>
      <c r="D4228" s="65" t="s">
        <v>3171</v>
      </c>
      <c r="E4228" s="58"/>
      <c r="F4228" s="807" t="s">
        <v>3173</v>
      </c>
      <c r="G4228" s="126">
        <v>185</v>
      </c>
      <c r="H4228" s="809">
        <f>SUM(G4226+G4228)</f>
        <v>1641.4</v>
      </c>
    </row>
    <row r="4229" spans="1:8" ht="18" customHeight="1" outlineLevel="1">
      <c r="F4229" s="42" t="s">
        <v>1708</v>
      </c>
      <c r="G4229" s="106"/>
      <c r="H4229" s="65">
        <f>SUM(H4225:H4228)</f>
        <v>4223.8</v>
      </c>
    </row>
    <row r="4230" spans="1:8" ht="18" customHeight="1" outlineLevel="1">
      <c r="B4230" s="1" t="s">
        <v>1538</v>
      </c>
      <c r="F4230" s="42" t="s">
        <v>1688</v>
      </c>
      <c r="G4230" s="106"/>
      <c r="H4230" s="103">
        <f>FLOOR(H4229*0.15,0.01)</f>
        <v>633.57000000000005</v>
      </c>
    </row>
    <row r="4231" spans="1:8" ht="16.5" outlineLevel="1">
      <c r="A4231" s="100"/>
      <c r="B4231" s="147">
        <f>+H4231</f>
        <v>4857.37</v>
      </c>
      <c r="C4231" s="28" t="s">
        <v>3384</v>
      </c>
      <c r="D4231" s="103">
        <f>INT(B4231/B4232*100)/100</f>
        <v>48.57</v>
      </c>
      <c r="E4231" s="1" t="s">
        <v>3385</v>
      </c>
      <c r="F4231" s="42" t="s">
        <v>1711</v>
      </c>
      <c r="G4231" s="106"/>
      <c r="H4231" s="103">
        <f>SUM(H4229:H4230)</f>
        <v>4857.37</v>
      </c>
    </row>
    <row r="4232" spans="1:8" outlineLevel="1">
      <c r="B4232" s="121">
        <v>100</v>
      </c>
    </row>
    <row r="4233" spans="1:8" ht="18" customHeight="1" outlineLevel="1">
      <c r="B4233" s="121"/>
    </row>
    <row r="4234" spans="1:8" ht="18" customHeight="1" outlineLevel="1"/>
    <row r="4235" spans="1:8" ht="19.5" outlineLevel="1">
      <c r="A4235" s="282">
        <f>+A4221+1</f>
        <v>275</v>
      </c>
      <c r="B4235" s="1076" t="s">
        <v>3244</v>
      </c>
      <c r="C4235" s="1077"/>
      <c r="D4235" s="1077"/>
      <c r="E4235" s="1077"/>
      <c r="F4235" s="1077"/>
      <c r="G4235" s="1077"/>
      <c r="H4235" s="1077"/>
    </row>
    <row r="4236" spans="1:8" ht="18" customHeight="1" outlineLevel="1">
      <c r="A4236" s="1019" t="s">
        <v>4497</v>
      </c>
      <c r="B4236" s="1076" t="s">
        <v>3937</v>
      </c>
      <c r="C4236" s="1077"/>
      <c r="D4236" s="1077"/>
      <c r="E4236" s="1077"/>
      <c r="F4236" s="1077"/>
      <c r="G4236" s="1077"/>
      <c r="H4236" s="1077"/>
    </row>
    <row r="4237" spans="1:8" ht="18" customHeight="1" outlineLevel="1">
      <c r="A4237" s="1075" t="s">
        <v>2774</v>
      </c>
      <c r="B4237" s="1075"/>
      <c r="C4237" s="1075"/>
      <c r="D4237" s="1075"/>
      <c r="E4237" s="1075"/>
      <c r="F4237" s="1075"/>
      <c r="G4237" s="1075"/>
      <c r="H4237" s="1075"/>
    </row>
    <row r="4238" spans="1:8" ht="31.5" outlineLevel="1">
      <c r="B4238" s="70" t="s">
        <v>3340</v>
      </c>
      <c r="C4238" s="70" t="s">
        <v>3341</v>
      </c>
      <c r="D4238" s="70" t="s">
        <v>3342</v>
      </c>
      <c r="E4238" s="70" t="s">
        <v>3343</v>
      </c>
      <c r="F4238" s="70" t="s">
        <v>3344</v>
      </c>
      <c r="G4238" s="70" t="s">
        <v>3345</v>
      </c>
      <c r="H4238" s="70" t="s">
        <v>1704</v>
      </c>
    </row>
    <row r="4239" spans="1:8" ht="17.25" outlineLevel="1">
      <c r="B4239" s="1067" t="s">
        <v>1705</v>
      </c>
      <c r="C4239" s="805" t="s">
        <v>790</v>
      </c>
      <c r="D4239" s="43">
        <v>1</v>
      </c>
      <c r="E4239" s="57" t="s">
        <v>1643</v>
      </c>
      <c r="F4239" s="111">
        <f>'update Rate'!F5</f>
        <v>525</v>
      </c>
      <c r="G4239" s="111">
        <f>FLOOR(D4239*F4239,0.01)</f>
        <v>525</v>
      </c>
      <c r="H4239" s="808"/>
    </row>
    <row r="4240" spans="1:8" ht="18" customHeight="1" outlineLevel="1">
      <c r="B4240" s="1105"/>
      <c r="C4240" s="806" t="s">
        <v>615</v>
      </c>
      <c r="D4240" s="45">
        <v>2</v>
      </c>
      <c r="E4240" s="806" t="s">
        <v>1643</v>
      </c>
      <c r="F4240" s="126">
        <f>'update Rate'!F4</f>
        <v>375</v>
      </c>
      <c r="G4240" s="65">
        <f>FLOOR(D4240*F4240,0.01)</f>
        <v>750</v>
      </c>
      <c r="H4240" s="809">
        <f>SUM(G4239+G4240)</f>
        <v>1275</v>
      </c>
    </row>
    <row r="4241" spans="1:8" ht="18" customHeight="1" outlineLevel="1">
      <c r="B4241" s="805" t="s">
        <v>2330</v>
      </c>
      <c r="C4241" s="805" t="s">
        <v>3245</v>
      </c>
      <c r="D4241" s="43">
        <v>0.19</v>
      </c>
      <c r="E4241" s="57" t="s">
        <v>2530</v>
      </c>
      <c r="F4241" s="113">
        <f>'update Rate'!$F$52</f>
        <v>120054</v>
      </c>
      <c r="G4241" s="114">
        <f>FLOOR(D4241*F4241,0.01)</f>
        <v>22810.260000000002</v>
      </c>
      <c r="H4241" s="136"/>
    </row>
    <row r="4242" spans="1:8" ht="18" customHeight="1">
      <c r="B4242" s="298"/>
      <c r="C4242" s="806" t="s">
        <v>3246</v>
      </c>
      <c r="D4242" s="44">
        <v>250</v>
      </c>
      <c r="E4242" s="55" t="s">
        <v>3248</v>
      </c>
      <c r="F4242" s="120">
        <f>Diagowar</f>
        <v>38.5</v>
      </c>
      <c r="G4242" s="113">
        <f>FLOOR(D4242*F4242,0.01)</f>
        <v>9625</v>
      </c>
      <c r="H4242" s="9"/>
    </row>
    <row r="4243" spans="1:8" ht="18" customHeight="1">
      <c r="B4243" s="810"/>
      <c r="C4243" s="807" t="s">
        <v>3247</v>
      </c>
      <c r="D4243" s="45">
        <v>77</v>
      </c>
      <c r="E4243" s="58" t="s">
        <v>1643</v>
      </c>
      <c r="F4243" s="65" t="s">
        <v>3960</v>
      </c>
      <c r="G4243" s="65">
        <v>77</v>
      </c>
      <c r="H4243" s="809">
        <f>SUM(G4241+G4242+G4243)</f>
        <v>32512.260000000002</v>
      </c>
    </row>
    <row r="4244" spans="1:8" ht="16.5">
      <c r="F4244" s="42" t="s">
        <v>1708</v>
      </c>
      <c r="G4244" s="106"/>
      <c r="H4244" s="65">
        <f>SUM(H4240:H4243)</f>
        <v>33787.26</v>
      </c>
    </row>
    <row r="4245" spans="1:8" ht="15.75" customHeight="1">
      <c r="B4245" s="1" t="s">
        <v>1538</v>
      </c>
      <c r="F4245" s="42" t="s">
        <v>1688</v>
      </c>
      <c r="G4245" s="106"/>
      <c r="H4245" s="103">
        <f>FLOOR(H4244*0.15,0.01)</f>
        <v>5068.08</v>
      </c>
    </row>
    <row r="4246" spans="1:8" ht="16.5">
      <c r="A4246" s="100"/>
      <c r="B4246" s="147">
        <f>+H4246</f>
        <v>38855.340000000004</v>
      </c>
      <c r="C4246" s="28" t="s">
        <v>3384</v>
      </c>
      <c r="D4246" s="103">
        <f>INT(B4246/B4247*100)/100</f>
        <v>1295.17</v>
      </c>
      <c r="E4246" s="1" t="s">
        <v>3385</v>
      </c>
      <c r="F4246" s="42" t="s">
        <v>1711</v>
      </c>
      <c r="G4246" s="106"/>
      <c r="H4246" s="103">
        <f>SUM(H4244:H4245)</f>
        <v>38855.340000000004</v>
      </c>
    </row>
    <row r="4247" spans="1:8" ht="18" customHeight="1">
      <c r="B4247" s="121">
        <v>30</v>
      </c>
    </row>
    <row r="4248" spans="1:8">
      <c r="A4248" s="1" t="s">
        <v>2775</v>
      </c>
    </row>
    <row r="4249" spans="1:8" ht="16.5">
      <c r="B4249" s="149"/>
    </row>
    <row r="4250" spans="1:8" ht="18" customHeight="1">
      <c r="A4250" s="145">
        <f>A4235+1</f>
        <v>276</v>
      </c>
      <c r="B4250" s="149"/>
    </row>
    <row r="4251" spans="1:8" ht="18" customHeight="1">
      <c r="A4251" s="1019" t="s">
        <v>4498</v>
      </c>
      <c r="B4251" s="1106" t="s">
        <v>3939</v>
      </c>
      <c r="C4251" s="1089"/>
      <c r="D4251" s="1089"/>
      <c r="E4251" s="1089"/>
      <c r="F4251" s="1089"/>
      <c r="G4251" s="1089"/>
      <c r="H4251" s="1089"/>
    </row>
    <row r="4252" spans="1:8" ht="18" customHeight="1">
      <c r="B4252" s="1075" t="s">
        <v>2345</v>
      </c>
      <c r="C4252" s="1075"/>
      <c r="D4252" s="1075"/>
      <c r="E4252" s="1075"/>
      <c r="F4252" s="1075"/>
      <c r="G4252" s="1075"/>
      <c r="H4252" s="1075"/>
    </row>
    <row r="4253" spans="1:8" ht="31.5">
      <c r="B4253" s="70" t="s">
        <v>3340</v>
      </c>
      <c r="C4253" s="70" t="s">
        <v>3341</v>
      </c>
      <c r="D4253" s="70" t="s">
        <v>3342</v>
      </c>
      <c r="E4253" s="70" t="s">
        <v>3343</v>
      </c>
      <c r="F4253" s="70" t="s">
        <v>3344</v>
      </c>
      <c r="G4253" s="70" t="s">
        <v>3345</v>
      </c>
      <c r="H4253" s="70" t="s">
        <v>1704</v>
      </c>
    </row>
    <row r="4254" spans="1:8" ht="18" customHeight="1">
      <c r="B4254" s="1067" t="s">
        <v>1705</v>
      </c>
      <c r="C4254" s="805" t="s">
        <v>790</v>
      </c>
      <c r="D4254" s="48">
        <v>0.68700000000000006</v>
      </c>
      <c r="E4254" s="57" t="s">
        <v>1643</v>
      </c>
      <c r="F4254" s="111">
        <f>'update Rate'!F5</f>
        <v>525</v>
      </c>
      <c r="G4254" s="111">
        <f>FLOOR(D4254*F4254,0.01)</f>
        <v>360.67</v>
      </c>
      <c r="H4254" s="808"/>
    </row>
    <row r="4255" spans="1:8" ht="18" customHeight="1">
      <c r="B4255" s="1105"/>
      <c r="C4255" s="806" t="s">
        <v>615</v>
      </c>
      <c r="D4255" s="51">
        <v>0.78100000000000003</v>
      </c>
      <c r="E4255" s="806" t="s">
        <v>1643</v>
      </c>
      <c r="F4255" s="120">
        <f>'update Rate'!F4</f>
        <v>375</v>
      </c>
      <c r="G4255" s="113">
        <f>FLOOR(D4255*F4255,0.01)</f>
        <v>292.87</v>
      </c>
      <c r="H4255" s="809">
        <f>SUM(G4254+G4255)</f>
        <v>653.54</v>
      </c>
    </row>
    <row r="4256" spans="1:8" ht="17.25">
      <c r="B4256" s="1067" t="s">
        <v>2330</v>
      </c>
      <c r="C4256" s="805" t="s">
        <v>2346</v>
      </c>
      <c r="D4256" s="43"/>
      <c r="E4256" s="57"/>
      <c r="F4256" s="111"/>
      <c r="G4256" s="136"/>
      <c r="H4256" s="136"/>
    </row>
    <row r="4257" spans="1:8" ht="15.75">
      <c r="B4257" s="1119"/>
      <c r="C4257" s="806" t="s">
        <v>1150</v>
      </c>
      <c r="E4257" s="9"/>
      <c r="F4257" s="120"/>
      <c r="G4257" s="9"/>
      <c r="H4257" s="137"/>
    </row>
    <row r="4258" spans="1:8" ht="17.25">
      <c r="B4258" s="1119"/>
      <c r="C4258" s="806" t="s">
        <v>3938</v>
      </c>
      <c r="D4258" s="44">
        <v>18.940000000000001</v>
      </c>
      <c r="E4258" s="55" t="s">
        <v>3096</v>
      </c>
      <c r="F4258" s="113">
        <f>'update Rate'!F317</f>
        <v>71.5</v>
      </c>
      <c r="G4258" s="113">
        <f>FLOOR(D4258*F4258,0.01)</f>
        <v>1354.21</v>
      </c>
      <c r="H4258" s="9"/>
    </row>
    <row r="4259" spans="1:8" ht="18" customHeight="1">
      <c r="B4259" s="1105"/>
      <c r="C4259" s="807" t="s">
        <v>2344</v>
      </c>
      <c r="D4259" s="59" t="s">
        <v>3171</v>
      </c>
      <c r="E4259" s="58" t="s">
        <v>3173</v>
      </c>
      <c r="F4259" s="58" t="s">
        <v>3173</v>
      </c>
      <c r="G4259" s="65">
        <v>110</v>
      </c>
      <c r="H4259" s="809">
        <f>SUM(G4258+G4259)</f>
        <v>1464.21</v>
      </c>
    </row>
    <row r="4260" spans="1:8" ht="18" customHeight="1">
      <c r="F4260" s="42" t="s">
        <v>1708</v>
      </c>
      <c r="G4260" s="106"/>
      <c r="H4260" s="65">
        <f>SUM(H4255:H4259)</f>
        <v>2117.75</v>
      </c>
    </row>
    <row r="4261" spans="1:8" ht="18" customHeight="1">
      <c r="B4261" s="1" t="s">
        <v>130</v>
      </c>
      <c r="F4261" s="42" t="s">
        <v>1688</v>
      </c>
      <c r="G4261" s="106"/>
      <c r="H4261" s="103">
        <f>FLOOR(H4260*0.15,0.01)</f>
        <v>317.66000000000003</v>
      </c>
    </row>
    <row r="4262" spans="1:8" ht="18" customHeight="1">
      <c r="A4262" s="28"/>
      <c r="B4262" s="147">
        <f>+H4262</f>
        <v>2435.41</v>
      </c>
      <c r="C4262" s="28" t="s">
        <v>3384</v>
      </c>
      <c r="D4262" s="103">
        <f>INT(B4262/B4263*100)/100</f>
        <v>128.58000000000001</v>
      </c>
      <c r="E4262" s="1" t="s">
        <v>3385</v>
      </c>
      <c r="F4262" s="42" t="s">
        <v>1711</v>
      </c>
      <c r="G4262" s="106"/>
      <c r="H4262" s="103">
        <f>SUM(H4260:H4261)</f>
        <v>2435.41</v>
      </c>
    </row>
    <row r="4263" spans="1:8" ht="16.5">
      <c r="B4263" s="149">
        <v>18.940000000000001</v>
      </c>
    </row>
    <row r="4264" spans="1:8" ht="11.25" customHeight="1">
      <c r="A4264" s="28"/>
      <c r="B4264" s="149"/>
      <c r="F4264" s="42"/>
      <c r="G4264" s="106"/>
      <c r="H4264" s="151"/>
    </row>
    <row r="4265" spans="1:8" ht="18" customHeight="1">
      <c r="A4265" s="145">
        <f>A4250+1</f>
        <v>277</v>
      </c>
      <c r="B4265" s="1192" t="s">
        <v>308</v>
      </c>
      <c r="C4265" s="1091"/>
      <c r="D4265" s="1091"/>
      <c r="E4265" s="1091"/>
      <c r="F4265" s="1091"/>
      <c r="G4265" s="1091"/>
      <c r="H4265" s="1091"/>
    </row>
    <row r="4266" spans="1:8">
      <c r="A4266" s="1019" t="s">
        <v>4499</v>
      </c>
      <c r="B4266" s="1114" t="s">
        <v>747</v>
      </c>
      <c r="C4266" s="1091"/>
      <c r="D4266" s="1091"/>
      <c r="E4266" s="1091"/>
      <c r="F4266" s="1091"/>
      <c r="G4266" s="1091"/>
      <c r="H4266" s="1091"/>
    </row>
    <row r="4267" spans="1:8">
      <c r="A4267" s="92"/>
      <c r="B4267" s="1091" t="s">
        <v>748</v>
      </c>
      <c r="C4267" s="1091"/>
      <c r="D4267" s="1091"/>
      <c r="E4267" s="1091"/>
      <c r="F4267" s="1091"/>
      <c r="G4267" s="1091"/>
      <c r="H4267" s="1091"/>
    </row>
    <row r="4268" spans="1:8" ht="18" customHeight="1">
      <c r="A4268" s="223"/>
      <c r="B4268" s="1091" t="s">
        <v>1201</v>
      </c>
      <c r="C4268" s="1091"/>
      <c r="D4268" s="1091"/>
      <c r="E4268" s="1091"/>
      <c r="F4268" s="1091"/>
      <c r="G4268" s="1091"/>
      <c r="H4268" s="1091"/>
    </row>
    <row r="4269" spans="1:8">
      <c r="A4269" s="223"/>
      <c r="B4269" s="1083" t="s">
        <v>2334</v>
      </c>
      <c r="C4269" s="1083"/>
      <c r="D4269" s="1083"/>
      <c r="E4269" s="1083"/>
      <c r="F4269" s="1083"/>
      <c r="G4269" s="1083"/>
      <c r="H4269" s="1083"/>
    </row>
    <row r="4270" spans="1:8" ht="31.5">
      <c r="B4270" s="70" t="s">
        <v>3340</v>
      </c>
      <c r="C4270" s="70" t="s">
        <v>3341</v>
      </c>
      <c r="D4270" s="70" t="s">
        <v>3342</v>
      </c>
      <c r="E4270" s="70" t="s">
        <v>3343</v>
      </c>
      <c r="F4270" s="70" t="s">
        <v>3344</v>
      </c>
      <c r="G4270" s="70" t="s">
        <v>3345</v>
      </c>
      <c r="H4270" s="70" t="s">
        <v>1704</v>
      </c>
    </row>
    <row r="4271" spans="1:8" ht="18" customHeight="1">
      <c r="A4271" s="28"/>
      <c r="B4271" s="1067" t="s">
        <v>614</v>
      </c>
      <c r="C4271" s="82" t="s">
        <v>790</v>
      </c>
      <c r="D4271" s="44">
        <v>7</v>
      </c>
      <c r="E4271" s="55" t="s">
        <v>1707</v>
      </c>
      <c r="F4271" s="111">
        <f>'update Rate'!F5</f>
        <v>525</v>
      </c>
      <c r="G4271" s="111">
        <f t="shared" ref="G4271:G4277" si="81">FLOOR(D4271*F4271,0.01)</f>
        <v>3675</v>
      </c>
      <c r="H4271" s="112"/>
    </row>
    <row r="4272" spans="1:8" ht="18" customHeight="1">
      <c r="B4272" s="1068"/>
      <c r="C4272" s="80" t="s">
        <v>615</v>
      </c>
      <c r="D4272" s="45">
        <v>5</v>
      </c>
      <c r="E4272" s="58" t="s">
        <v>1707</v>
      </c>
      <c r="F4272" s="126">
        <f>'update Rate'!F4</f>
        <v>375</v>
      </c>
      <c r="G4272" s="120">
        <f t="shared" si="81"/>
        <v>1875</v>
      </c>
      <c r="H4272" s="127">
        <f>SUM(G4271+G4272)</f>
        <v>5550</v>
      </c>
    </row>
    <row r="4273" spans="1:8" ht="18" customHeight="1">
      <c r="B4273" s="1067" t="s">
        <v>2330</v>
      </c>
      <c r="C4273" s="82" t="s">
        <v>1202</v>
      </c>
      <c r="D4273" s="44">
        <v>35.51</v>
      </c>
      <c r="E4273" s="55" t="s">
        <v>3096</v>
      </c>
      <c r="F4273" s="120">
        <f>Jwarling</f>
        <v>154</v>
      </c>
      <c r="G4273" s="114">
        <f t="shared" si="81"/>
        <v>5468.54</v>
      </c>
      <c r="H4273" s="125"/>
    </row>
    <row r="4274" spans="1:8" ht="18" customHeight="1">
      <c r="B4274" s="1096"/>
      <c r="C4274" s="226" t="s">
        <v>310</v>
      </c>
      <c r="D4274" s="44">
        <v>32.06</v>
      </c>
      <c r="E4274" s="55" t="s">
        <v>3096</v>
      </c>
      <c r="F4274" s="120">
        <f>$F$4275</f>
        <v>77</v>
      </c>
      <c r="G4274" s="113">
        <f t="shared" si="81"/>
        <v>2468.62</v>
      </c>
      <c r="H4274" s="125"/>
    </row>
    <row r="4275" spans="1:8" ht="18" customHeight="1">
      <c r="B4275" s="1096"/>
      <c r="C4275" s="226" t="s">
        <v>309</v>
      </c>
      <c r="D4275" s="44">
        <v>25.19</v>
      </c>
      <c r="E4275" s="55" t="s">
        <v>3096</v>
      </c>
      <c r="F4275" s="120">
        <f>'update Rate'!$F$209</f>
        <v>77</v>
      </c>
      <c r="G4275" s="113">
        <f t="shared" si="81"/>
        <v>1939.63</v>
      </c>
      <c r="H4275" s="125"/>
    </row>
    <row r="4276" spans="1:8" ht="17.25">
      <c r="B4276" s="1096"/>
      <c r="C4276" s="224" t="s">
        <v>312</v>
      </c>
      <c r="D4276" s="44">
        <v>14.76</v>
      </c>
      <c r="E4276" s="55" t="s">
        <v>3096</v>
      </c>
      <c r="F4276" s="120">
        <f>'update Rate'!F176</f>
        <v>115.5</v>
      </c>
      <c r="G4276" s="113">
        <f t="shared" si="81"/>
        <v>1704.78</v>
      </c>
      <c r="H4276" s="125"/>
    </row>
    <row r="4277" spans="1:8" ht="28.5">
      <c r="B4277" s="1068"/>
      <c r="C4277" s="224" t="s">
        <v>311</v>
      </c>
      <c r="D4277" s="45">
        <v>10</v>
      </c>
      <c r="E4277" s="58" t="s">
        <v>3170</v>
      </c>
      <c r="F4277" s="126">
        <f>'update Rate'!$F$219</f>
        <v>226</v>
      </c>
      <c r="G4277" s="65">
        <f t="shared" si="81"/>
        <v>2260</v>
      </c>
      <c r="H4277" s="127">
        <f>SUM(G4273:G4277)</f>
        <v>13841.570000000002</v>
      </c>
    </row>
    <row r="4278" spans="1:8" ht="18" customHeight="1">
      <c r="B4278" s="227"/>
      <c r="C4278" s="221"/>
      <c r="D4278" s="228"/>
      <c r="E4278" s="229"/>
      <c r="F4278" s="230" t="s">
        <v>1206</v>
      </c>
      <c r="G4278" s="231"/>
      <c r="H4278" s="127">
        <f>H4277*0.15</f>
        <v>2076.2355000000002</v>
      </c>
    </row>
    <row r="4279" spans="1:8" ht="18" customHeight="1">
      <c r="F4279" s="42" t="s">
        <v>1708</v>
      </c>
      <c r="G4279" s="106"/>
      <c r="H4279" s="65">
        <f>SUM(H4272:H4278)</f>
        <v>21467.805499999999</v>
      </c>
    </row>
    <row r="4280" spans="1:8" ht="16.5">
      <c r="B4280" s="1" t="s">
        <v>1710</v>
      </c>
      <c r="F4280" s="42" t="s">
        <v>1688</v>
      </c>
      <c r="G4280" s="106"/>
      <c r="H4280" s="65">
        <f>FLOOR(H4279*0.15,0.01)</f>
        <v>3220.17</v>
      </c>
    </row>
    <row r="4281" spans="1:8" ht="18" customHeight="1">
      <c r="A4281" s="28"/>
      <c r="B4281" s="147">
        <f>+H4281</f>
        <v>24687.9755</v>
      </c>
      <c r="C4281" s="28" t="s">
        <v>3384</v>
      </c>
      <c r="D4281" s="103">
        <f>FLOOR(B4281/B4282,0.01)</f>
        <v>2468.79</v>
      </c>
      <c r="E4281" s="1" t="s">
        <v>3385</v>
      </c>
      <c r="F4281" s="42" t="s">
        <v>1711</v>
      </c>
      <c r="G4281" s="106"/>
      <c r="H4281" s="103">
        <f>SUM(H4279:H4280)</f>
        <v>24687.9755</v>
      </c>
    </row>
    <row r="4282" spans="1:8" ht="18" customHeight="1">
      <c r="A4282" s="28"/>
      <c r="B4282" s="149">
        <v>10</v>
      </c>
      <c r="C4282" s="28"/>
      <c r="D4282" s="151"/>
      <c r="F4282" s="42"/>
      <c r="G4282" s="106"/>
      <c r="H4282" s="151"/>
    </row>
    <row r="4283" spans="1:8" ht="17.25">
      <c r="A4283" s="28"/>
      <c r="B4283" s="149"/>
      <c r="F4283" s="42"/>
      <c r="G4283" s="106"/>
      <c r="H4283" s="151"/>
    </row>
    <row r="4284" spans="1:8" ht="18">
      <c r="A4284" s="145">
        <f>+A4265+1</f>
        <v>278</v>
      </c>
      <c r="B4284" s="1102" t="s">
        <v>1198</v>
      </c>
      <c r="C4284" s="1103"/>
      <c r="D4284" s="1103"/>
      <c r="E4284" s="1103"/>
      <c r="F4284" s="1103"/>
      <c r="G4284" s="1103"/>
      <c r="H4284" s="1103"/>
    </row>
    <row r="4285" spans="1:8" ht="15" customHeight="1">
      <c r="A4285" s="1019" t="s">
        <v>4500</v>
      </c>
      <c r="B4285" s="1104" t="s">
        <v>1199</v>
      </c>
      <c r="C4285" s="1103"/>
      <c r="D4285" s="1103"/>
      <c r="E4285" s="1103"/>
      <c r="F4285" s="1103"/>
      <c r="G4285" s="1103"/>
      <c r="H4285" s="1103"/>
    </row>
    <row r="4286" spans="1:8" ht="18" customHeight="1">
      <c r="A4286" s="92"/>
      <c r="B4286" s="1091" t="s">
        <v>1200</v>
      </c>
      <c r="C4286" s="1091"/>
      <c r="D4286" s="1091"/>
      <c r="E4286" s="1091"/>
      <c r="F4286" s="1091"/>
      <c r="G4286" s="1091"/>
      <c r="H4286" s="1091"/>
    </row>
    <row r="4287" spans="1:8">
      <c r="A4287" s="223"/>
      <c r="B4287" s="1091" t="s">
        <v>1201</v>
      </c>
      <c r="C4287" s="1091"/>
      <c r="D4287" s="1091"/>
      <c r="E4287" s="1091"/>
      <c r="F4287" s="1091"/>
      <c r="G4287" s="1091"/>
      <c r="H4287" s="1091"/>
    </row>
    <row r="4288" spans="1:8" customFormat="1" ht="14.25">
      <c r="A4288" s="223"/>
      <c r="B4288" s="1083" t="s">
        <v>2334</v>
      </c>
      <c r="C4288" s="1083"/>
      <c r="D4288" s="1083"/>
      <c r="E4288" s="1083"/>
      <c r="F4288" s="1083"/>
      <c r="G4288" s="1083"/>
      <c r="H4288" s="1083"/>
    </row>
    <row r="4289" spans="1:8" ht="31.5">
      <c r="B4289" s="70" t="s">
        <v>3340</v>
      </c>
      <c r="C4289" s="70" t="s">
        <v>3341</v>
      </c>
      <c r="D4289" s="70" t="s">
        <v>3342</v>
      </c>
      <c r="E4289" s="70" t="s">
        <v>3343</v>
      </c>
      <c r="F4289" s="70" t="s">
        <v>3344</v>
      </c>
      <c r="G4289" s="70" t="s">
        <v>3345</v>
      </c>
      <c r="H4289" s="70" t="s">
        <v>1704</v>
      </c>
    </row>
    <row r="4290" spans="1:8" ht="18" customHeight="1">
      <c r="A4290" s="28"/>
      <c r="B4290" s="1067" t="s">
        <v>614</v>
      </c>
      <c r="C4290" s="82" t="s">
        <v>790</v>
      </c>
      <c r="D4290" s="44">
        <v>7</v>
      </c>
      <c r="E4290" s="55" t="s">
        <v>1707</v>
      </c>
      <c r="F4290" s="111">
        <f>'update Rate'!F5</f>
        <v>525</v>
      </c>
      <c r="G4290" s="111">
        <f t="shared" ref="G4290:G4295" si="82">FLOOR(D4290*F4290,0.01)</f>
        <v>3675</v>
      </c>
      <c r="H4290" s="112"/>
    </row>
    <row r="4291" spans="1:8" ht="18" customHeight="1">
      <c r="B4291" s="1068"/>
      <c r="C4291" s="80" t="s">
        <v>615</v>
      </c>
      <c r="D4291" s="45">
        <v>5</v>
      </c>
      <c r="E4291" s="58" t="s">
        <v>1707</v>
      </c>
      <c r="F4291" s="126">
        <f>'update Rate'!F4</f>
        <v>375</v>
      </c>
      <c r="G4291" s="120">
        <f t="shared" si="82"/>
        <v>1875</v>
      </c>
      <c r="H4291" s="127">
        <f>SUM(G4290+G4291)</f>
        <v>5550</v>
      </c>
    </row>
    <row r="4292" spans="1:8" ht="17.25">
      <c r="B4292" s="1067" t="s">
        <v>2330</v>
      </c>
      <c r="C4292" s="82" t="s">
        <v>1202</v>
      </c>
      <c r="D4292" s="44">
        <v>35.51</v>
      </c>
      <c r="E4292" s="55" t="s">
        <v>3096</v>
      </c>
      <c r="F4292" s="120">
        <f>Jparling</f>
        <v>154</v>
      </c>
      <c r="G4292" s="114">
        <f t="shared" si="82"/>
        <v>5468.54</v>
      </c>
      <c r="H4292" s="125"/>
    </row>
    <row r="4293" spans="1:8" ht="18" customHeight="1">
      <c r="B4293" s="1096"/>
      <c r="C4293" s="226" t="s">
        <v>1203</v>
      </c>
      <c r="D4293" s="44">
        <v>32.06</v>
      </c>
      <c r="E4293" s="55" t="s">
        <v>3096</v>
      </c>
      <c r="F4293" s="120">
        <f>'update Rate'!F209</f>
        <v>77</v>
      </c>
      <c r="G4293" s="113">
        <f t="shared" si="82"/>
        <v>2468.62</v>
      </c>
      <c r="H4293" s="125"/>
    </row>
    <row r="4294" spans="1:8" ht="18" customHeight="1">
      <c r="B4294" s="1096"/>
      <c r="C4294" s="82" t="s">
        <v>1204</v>
      </c>
      <c r="D4294" s="44">
        <v>14.76</v>
      </c>
      <c r="E4294" s="55" t="s">
        <v>3096</v>
      </c>
      <c r="F4294" s="120">
        <f>$F$4276</f>
        <v>115.5</v>
      </c>
      <c r="G4294" s="113">
        <f t="shared" si="82"/>
        <v>1704.78</v>
      </c>
      <c r="H4294" s="125"/>
    </row>
    <row r="4295" spans="1:8" ht="17.25">
      <c r="B4295" s="1068"/>
      <c r="C4295" s="80" t="s">
        <v>1205</v>
      </c>
      <c r="D4295" s="45">
        <v>66.489999999999995</v>
      </c>
      <c r="E4295" s="58" t="s">
        <v>3096</v>
      </c>
      <c r="F4295" s="170">
        <f>'update Rate'!F47</f>
        <v>80.8</v>
      </c>
      <c r="G4295" s="65">
        <f t="shared" si="82"/>
        <v>5372.39</v>
      </c>
      <c r="H4295" s="127">
        <f>SUM(G4292:G4295)</f>
        <v>15014.330000000002</v>
      </c>
    </row>
    <row r="4296" spans="1:8" ht="18" customHeight="1">
      <c r="B4296" s="227"/>
      <c r="C4296" s="221"/>
      <c r="D4296" s="228"/>
      <c r="E4296" s="229"/>
      <c r="F4296" s="230" t="s">
        <v>1206</v>
      </c>
      <c r="G4296" s="231"/>
      <c r="H4296" s="127">
        <f>H4295*0.15</f>
        <v>2252.1495</v>
      </c>
    </row>
    <row r="4297" spans="1:8" ht="18" customHeight="1">
      <c r="F4297" s="42" t="s">
        <v>1708</v>
      </c>
      <c r="G4297" s="106"/>
      <c r="H4297" s="65">
        <f>SUM(H4291:H4296)</f>
        <v>22816.479500000001</v>
      </c>
    </row>
    <row r="4298" spans="1:8" ht="18" customHeight="1">
      <c r="B4298" s="1" t="s">
        <v>1710</v>
      </c>
      <c r="F4298" s="42" t="s">
        <v>1688</v>
      </c>
      <c r="G4298" s="106"/>
      <c r="H4298" s="65">
        <f>FLOOR(H4297*0.15,0.01)</f>
        <v>3422.4700000000003</v>
      </c>
    </row>
    <row r="4299" spans="1:8" ht="16.5">
      <c r="A4299" s="28"/>
      <c r="B4299" s="147">
        <f>+H4299</f>
        <v>26238.949500000002</v>
      </c>
      <c r="C4299" s="28" t="s">
        <v>3384</v>
      </c>
      <c r="D4299" s="103">
        <f>B4299/B4300</f>
        <v>2623.8949500000003</v>
      </c>
      <c r="E4299" s="1" t="s">
        <v>3385</v>
      </c>
      <c r="F4299" s="42" t="s">
        <v>1711</v>
      </c>
      <c r="G4299" s="106"/>
      <c r="H4299" s="103">
        <f>SUM(H4297:H4298)</f>
        <v>26238.949500000002</v>
      </c>
    </row>
    <row r="4300" spans="1:8" ht="17.25">
      <c r="A4300" s="28"/>
      <c r="B4300" s="149">
        <v>10</v>
      </c>
      <c r="C4300" s="28"/>
      <c r="D4300" s="151"/>
      <c r="F4300" s="42"/>
      <c r="G4300" s="106"/>
      <c r="H4300" s="151"/>
    </row>
    <row r="4301" spans="1:8" ht="17.25">
      <c r="A4301" s="28"/>
      <c r="B4301" s="149"/>
      <c r="C4301" s="28"/>
      <c r="D4301" s="151"/>
      <c r="F4301" s="42"/>
      <c r="G4301" s="106"/>
      <c r="H4301" s="151"/>
    </row>
    <row r="4302" spans="1:8" ht="15.75">
      <c r="A4302"/>
      <c r="B4302" s="151"/>
      <c r="C4302" s="28"/>
      <c r="D4302" s="151"/>
      <c r="F4302" s="42"/>
      <c r="G4302" s="42"/>
      <c r="H4302" s="151"/>
    </row>
    <row r="4303" spans="1:8" ht="19.5" customHeight="1">
      <c r="A4303" s="282">
        <f>A4284+1</f>
        <v>279</v>
      </c>
      <c r="B4303" s="1115" t="s">
        <v>3963</v>
      </c>
      <c r="C4303" s="1116"/>
      <c r="D4303" s="1116"/>
      <c r="E4303" s="1116"/>
      <c r="F4303" s="1116"/>
      <c r="G4303" s="1116"/>
      <c r="H4303" s="1116"/>
    </row>
    <row r="4304" spans="1:8" ht="36" customHeight="1">
      <c r="A4304" s="1019"/>
      <c r="B4304" s="1115"/>
      <c r="C4304" s="1116"/>
      <c r="D4304" s="1116"/>
      <c r="E4304" s="1116"/>
      <c r="F4304" s="1116"/>
      <c r="G4304" s="1116"/>
      <c r="H4304" s="1116"/>
    </row>
    <row r="4305" spans="1:8">
      <c r="A4305" s="25"/>
      <c r="B4305" s="1083" t="s">
        <v>182</v>
      </c>
      <c r="C4305" s="1083"/>
      <c r="D4305" s="1083"/>
      <c r="E4305" s="1083"/>
      <c r="F4305" s="1083"/>
      <c r="G4305" s="1083"/>
      <c r="H4305" s="1083"/>
    </row>
    <row r="4306" spans="1:8" ht="31.5">
      <c r="B4306" s="70" t="s">
        <v>3340</v>
      </c>
      <c r="C4306" s="70" t="s">
        <v>3341</v>
      </c>
      <c r="D4306" s="70" t="s">
        <v>3342</v>
      </c>
      <c r="E4306" s="70" t="s">
        <v>3343</v>
      </c>
      <c r="F4306" s="70" t="s">
        <v>3344</v>
      </c>
      <c r="G4306" s="70" t="s">
        <v>3345</v>
      </c>
      <c r="H4306" s="70" t="s">
        <v>1704</v>
      </c>
    </row>
    <row r="4307" spans="1:8" ht="31.5">
      <c r="B4307" s="711" t="s">
        <v>2330</v>
      </c>
      <c r="C4307" s="70" t="s">
        <v>3964</v>
      </c>
      <c r="D4307" s="46">
        <v>1</v>
      </c>
      <c r="E4307" s="66" t="s">
        <v>2938</v>
      </c>
      <c r="F4307" s="103">
        <f>'update Rate'!F525</f>
        <v>3542.4</v>
      </c>
      <c r="G4307" s="103">
        <f>FLOOR(D4307*F4307,0.01)</f>
        <v>3542.4</v>
      </c>
      <c r="H4307" s="170">
        <f>SUM(G4307:G4307)</f>
        <v>3542.4</v>
      </c>
    </row>
    <row r="4308" spans="1:8" ht="16.5">
      <c r="F4308" s="42" t="s">
        <v>1708</v>
      </c>
      <c r="G4308" s="106"/>
      <c r="H4308" s="65">
        <f>SUM(H4306:H4307)</f>
        <v>3542.4</v>
      </c>
    </row>
    <row r="4309" spans="1:8" ht="16.5">
      <c r="B4309" s="1" t="s">
        <v>4552</v>
      </c>
      <c r="F4309" s="42" t="s">
        <v>1688</v>
      </c>
      <c r="G4309" s="106"/>
      <c r="H4309" s="103">
        <f>FLOOR(H4308*0.15,0.01)</f>
        <v>531.36</v>
      </c>
    </row>
    <row r="4310" spans="1:8" ht="16.5">
      <c r="A4310" s="28" t="s">
        <v>3384</v>
      </c>
      <c r="B4310" s="103">
        <f>+H4310</f>
        <v>4073.76</v>
      </c>
      <c r="C4310" s="1" t="s">
        <v>3385</v>
      </c>
      <c r="D4310" s="151"/>
      <c r="F4310" s="42" t="s">
        <v>1711</v>
      </c>
      <c r="G4310" s="106"/>
      <c r="H4310" s="103">
        <f>SUM(H4308:H4309)</f>
        <v>4073.76</v>
      </c>
    </row>
    <row r="4311" spans="1:8">
      <c r="B4311" s="121"/>
      <c r="G4311" s="2"/>
      <c r="H4311" s="2"/>
    </row>
    <row r="4312" spans="1:8" ht="19.5" customHeight="1">
      <c r="A4312" s="282">
        <f>A4303+1</f>
        <v>280</v>
      </c>
      <c r="B4312" s="1115" t="s">
        <v>3966</v>
      </c>
      <c r="C4312" s="1116"/>
      <c r="D4312" s="1116"/>
      <c r="E4312" s="1116"/>
      <c r="F4312" s="1116"/>
      <c r="G4312" s="1116"/>
      <c r="H4312" s="1116"/>
    </row>
    <row r="4313" spans="1:8" ht="36" customHeight="1">
      <c r="A4313" s="1019" t="s">
        <v>105</v>
      </c>
      <c r="B4313" s="1115"/>
      <c r="C4313" s="1116"/>
      <c r="D4313" s="1116"/>
      <c r="E4313" s="1116"/>
      <c r="F4313" s="1116"/>
      <c r="G4313" s="1116"/>
      <c r="H4313" s="1116"/>
    </row>
    <row r="4314" spans="1:8" ht="14.25" customHeight="1">
      <c r="A4314" s="25"/>
      <c r="B4314" s="1075" t="s">
        <v>2995</v>
      </c>
      <c r="C4314" s="1075"/>
      <c r="D4314" s="1075"/>
      <c r="E4314" s="1075"/>
      <c r="F4314" s="1075"/>
      <c r="G4314" s="1075"/>
      <c r="H4314" s="1075"/>
    </row>
    <row r="4315" spans="1:8" ht="31.5">
      <c r="B4315" s="70" t="s">
        <v>3340</v>
      </c>
      <c r="C4315" s="70" t="s">
        <v>3341</v>
      </c>
      <c r="D4315" s="70" t="s">
        <v>3342</v>
      </c>
      <c r="E4315" s="70" t="s">
        <v>3343</v>
      </c>
      <c r="F4315" s="70" t="s">
        <v>3344</v>
      </c>
      <c r="G4315" s="70" t="s">
        <v>3345</v>
      </c>
      <c r="H4315" s="70" t="s">
        <v>1704</v>
      </c>
    </row>
    <row r="4316" spans="1:8" ht="18" customHeight="1">
      <c r="A4316" s="28"/>
      <c r="B4316" s="1067" t="s">
        <v>614</v>
      </c>
      <c r="C4316" s="826" t="s">
        <v>790</v>
      </c>
      <c r="D4316" s="44">
        <v>7.78</v>
      </c>
      <c r="E4316" s="55" t="s">
        <v>1707</v>
      </c>
      <c r="F4316" s="111">
        <f>'update Rate'!F5</f>
        <v>525</v>
      </c>
      <c r="G4316" s="111">
        <f>FLOOR(D4316*F4316,0.01)</f>
        <v>4084.5</v>
      </c>
      <c r="H4316" s="828"/>
    </row>
    <row r="4317" spans="1:8" ht="18" customHeight="1">
      <c r="B4317" s="1068"/>
      <c r="C4317" s="824" t="s">
        <v>615</v>
      </c>
      <c r="D4317" s="45">
        <v>11.35</v>
      </c>
      <c r="E4317" s="58" t="s">
        <v>1707</v>
      </c>
      <c r="F4317" s="126">
        <f>'update Rate'!F4</f>
        <v>375</v>
      </c>
      <c r="G4317" s="120">
        <f>FLOOR(D4317*F4317,0.01)</f>
        <v>4256.25</v>
      </c>
      <c r="H4317" s="829">
        <f>SUM(G4316+G4317)</f>
        <v>8340.75</v>
      </c>
    </row>
    <row r="4318" spans="1:8" ht="17.25">
      <c r="B4318" s="1067" t="s">
        <v>2330</v>
      </c>
      <c r="C4318" s="836" t="s">
        <v>4066</v>
      </c>
      <c r="D4318" s="43">
        <v>15.49</v>
      </c>
      <c r="E4318" s="57" t="s">
        <v>3248</v>
      </c>
      <c r="F4318" s="111">
        <f>'update Rate'!F228</f>
        <v>332</v>
      </c>
      <c r="G4318" s="114">
        <f>FLOOR(D4318*F4318,0.01)</f>
        <v>5142.68</v>
      </c>
      <c r="H4318" s="830"/>
    </row>
    <row r="4319" spans="1:8" ht="18" customHeight="1">
      <c r="B4319" s="1096"/>
      <c r="C4319" s="226" t="s">
        <v>3967</v>
      </c>
      <c r="D4319" s="44">
        <v>20</v>
      </c>
      <c r="E4319" s="55" t="s">
        <v>3248</v>
      </c>
      <c r="F4319" s="120">
        <f>'update Rate'!F226</f>
        <v>215</v>
      </c>
      <c r="G4319" s="113">
        <f>FLOOR(D4319*F4319,0.01)</f>
        <v>4300</v>
      </c>
      <c r="H4319" s="830"/>
    </row>
    <row r="4320" spans="1:8" ht="33.75" customHeight="1">
      <c r="B4320" s="1068"/>
      <c r="C4320" s="215" t="s">
        <v>4065</v>
      </c>
      <c r="D4320" s="857" t="s">
        <v>3173</v>
      </c>
      <c r="E4320" s="58" t="s">
        <v>3171</v>
      </c>
      <c r="F4320" s="590">
        <v>0</v>
      </c>
      <c r="G4320" s="65">
        <v>500</v>
      </c>
      <c r="H4320" s="829">
        <f>SUM(G4318:G4320)</f>
        <v>9942.68</v>
      </c>
    </row>
    <row r="4321" spans="1:8" ht="18" customHeight="1">
      <c r="F4321" s="42" t="s">
        <v>1708</v>
      </c>
      <c r="G4321" s="106"/>
      <c r="H4321" s="65">
        <f>SUM(H4317:H4320)</f>
        <v>18283.43</v>
      </c>
    </row>
    <row r="4322" spans="1:8" ht="18" customHeight="1">
      <c r="B4322" s="1" t="s">
        <v>1710</v>
      </c>
      <c r="F4322" s="42" t="s">
        <v>1688</v>
      </c>
      <c r="G4322" s="106"/>
      <c r="H4322" s="65">
        <f>FLOOR(H4321*0.15,0.01)</f>
        <v>2742.51</v>
      </c>
    </row>
    <row r="4323" spans="1:8" ht="16.5">
      <c r="A4323" s="28"/>
      <c r="B4323" s="147">
        <f>+H4323</f>
        <v>21025.940000000002</v>
      </c>
      <c r="C4323" s="28" t="s">
        <v>3384</v>
      </c>
      <c r="D4323" s="103">
        <f>B4323/B4324</f>
        <v>2297.9169398907106</v>
      </c>
      <c r="E4323" s="1" t="s">
        <v>3385</v>
      </c>
      <c r="F4323" s="42" t="s">
        <v>1711</v>
      </c>
      <c r="G4323" s="106"/>
      <c r="H4323" s="103">
        <f>SUM(H4321:H4322)</f>
        <v>21025.940000000002</v>
      </c>
    </row>
    <row r="4324" spans="1:8" ht="17.25">
      <c r="A4324" s="28"/>
      <c r="B4324" s="149">
        <v>9.15</v>
      </c>
      <c r="C4324" s="28"/>
      <c r="D4324" s="151"/>
      <c r="F4324" s="42"/>
      <c r="G4324" s="106"/>
      <c r="H4324" s="151"/>
    </row>
    <row r="4325" spans="1:8" ht="17.25">
      <c r="A4325" s="28"/>
      <c r="B4325" s="149"/>
      <c r="C4325" s="28"/>
      <c r="D4325" s="151"/>
      <c r="F4325" s="42"/>
      <c r="G4325" s="106"/>
      <c r="H4325" s="151"/>
    </row>
    <row r="4326" spans="1:8" ht="17.25">
      <c r="A4326" s="28"/>
      <c r="B4326" s="149"/>
      <c r="C4326" s="28"/>
      <c r="D4326" s="151"/>
      <c r="F4326" s="42"/>
      <c r="G4326" s="106"/>
      <c r="H4326" s="151"/>
    </row>
    <row r="4327" spans="1:8" ht="17.25">
      <c r="A4327" s="28"/>
      <c r="B4327" s="149"/>
      <c r="C4327" s="28"/>
      <c r="D4327" s="151"/>
      <c r="F4327" s="42"/>
      <c r="G4327" s="106"/>
      <c r="H4327" s="151"/>
    </row>
    <row r="4328" spans="1:8">
      <c r="A4328" s="282">
        <f>A4312+1</f>
        <v>281</v>
      </c>
      <c r="B4328" s="1115" t="s">
        <v>4502</v>
      </c>
      <c r="C4328" s="1116"/>
      <c r="D4328" s="1116"/>
      <c r="E4328" s="1116"/>
      <c r="F4328" s="1116"/>
      <c r="G4328" s="1116"/>
      <c r="H4328" s="1116"/>
    </row>
    <row r="4329" spans="1:8" ht="19.5" customHeight="1">
      <c r="A4329" s="1019" t="s">
        <v>4501</v>
      </c>
      <c r="B4329" s="1115"/>
      <c r="C4329" s="1116"/>
      <c r="D4329" s="1116"/>
      <c r="E4329" s="1116"/>
      <c r="F4329" s="1116"/>
      <c r="G4329" s="1116"/>
      <c r="H4329" s="1116"/>
    </row>
    <row r="4330" spans="1:8" ht="15.95" customHeight="1">
      <c r="A4330" s="25"/>
      <c r="B4330" s="1075" t="s">
        <v>3968</v>
      </c>
      <c r="C4330" s="1075"/>
      <c r="D4330" s="1075"/>
      <c r="E4330" s="1075"/>
      <c r="F4330" s="1075"/>
      <c r="G4330" s="1075"/>
      <c r="H4330" s="1075"/>
    </row>
    <row r="4331" spans="1:8" ht="31.5">
      <c r="B4331" s="70" t="s">
        <v>3340</v>
      </c>
      <c r="C4331" s="70" t="s">
        <v>3341</v>
      </c>
      <c r="D4331" s="70" t="s">
        <v>3342</v>
      </c>
      <c r="E4331" s="70" t="s">
        <v>3343</v>
      </c>
      <c r="F4331" s="70" t="s">
        <v>3344</v>
      </c>
      <c r="G4331" s="70" t="s">
        <v>3345</v>
      </c>
      <c r="H4331" s="70" t="s">
        <v>1704</v>
      </c>
    </row>
    <row r="4332" spans="1:8" ht="15.95" customHeight="1">
      <c r="A4332" s="28"/>
      <c r="B4332" s="1067" t="s">
        <v>614</v>
      </c>
      <c r="C4332" s="826" t="s">
        <v>790</v>
      </c>
      <c r="D4332" s="44">
        <v>5.27</v>
      </c>
      <c r="E4332" s="55" t="s">
        <v>1707</v>
      </c>
      <c r="F4332" s="111">
        <f>'update Rate'!F5</f>
        <v>525</v>
      </c>
      <c r="G4332" s="111">
        <f>FLOOR(D4332*F4332,0.01)</f>
        <v>2766.75</v>
      </c>
      <c r="H4332" s="828"/>
    </row>
    <row r="4333" spans="1:8" ht="15.95" customHeight="1">
      <c r="B4333" s="1068"/>
      <c r="C4333" s="824" t="s">
        <v>615</v>
      </c>
      <c r="D4333" s="45">
        <v>0.52</v>
      </c>
      <c r="E4333" s="58" t="s">
        <v>1707</v>
      </c>
      <c r="F4333" s="126">
        <f>'update Rate'!F4</f>
        <v>375</v>
      </c>
      <c r="G4333" s="120">
        <f>FLOOR(D4333*F4333,0.01)</f>
        <v>195</v>
      </c>
      <c r="H4333" s="829">
        <f>SUM(G4332+G4333)</f>
        <v>2961.75</v>
      </c>
    </row>
    <row r="4334" spans="1:8" ht="15.75">
      <c r="B4334" s="70" t="s">
        <v>2330</v>
      </c>
      <c r="C4334" s="70" t="s">
        <v>3973</v>
      </c>
      <c r="D4334" s="833">
        <v>0.32900000000000001</v>
      </c>
      <c r="E4334" s="68" t="s">
        <v>2530</v>
      </c>
      <c r="F4334" s="105">
        <f>'update Rate'!F526</f>
        <v>52965</v>
      </c>
      <c r="G4334" s="832">
        <f>FLOOR(D4334*F4334,0.01)</f>
        <v>17425.48</v>
      </c>
      <c r="H4334" s="829">
        <f>SUM(G4334:G4334)</f>
        <v>17425.48</v>
      </c>
    </row>
    <row r="4335" spans="1:8" ht="18" customHeight="1">
      <c r="F4335" s="42" t="s">
        <v>1708</v>
      </c>
      <c r="G4335" s="106"/>
      <c r="H4335" s="65">
        <f>SUM(H4333:H4334)</f>
        <v>20387.23</v>
      </c>
    </row>
    <row r="4336" spans="1:8" ht="16.5">
      <c r="B4336" s="1" t="s">
        <v>1710</v>
      </c>
      <c r="F4336" s="42" t="s">
        <v>1688</v>
      </c>
      <c r="G4336" s="106"/>
      <c r="H4336" s="65">
        <f>FLOOR(H4335*0.15,0.01)</f>
        <v>3058.08</v>
      </c>
    </row>
    <row r="4337" spans="1:8" ht="16.5">
      <c r="A4337" s="28"/>
      <c r="B4337" s="147">
        <f>+H4337</f>
        <v>23445.309999999998</v>
      </c>
      <c r="C4337" s="28" t="s">
        <v>3384</v>
      </c>
      <c r="D4337" s="103">
        <f>B4337/B4338</f>
        <v>2605.034444444444</v>
      </c>
      <c r="E4337" s="1" t="s">
        <v>3385</v>
      </c>
      <c r="F4337" s="42" t="s">
        <v>1711</v>
      </c>
      <c r="G4337" s="106"/>
      <c r="H4337" s="103">
        <f>SUM(H4335:H4336)</f>
        <v>23445.309999999998</v>
      </c>
    </row>
    <row r="4338" spans="1:8" s="110" customFormat="1" ht="17.25">
      <c r="A4338" s="28"/>
      <c r="B4338" s="149">
        <v>9</v>
      </c>
      <c r="C4338" s="28"/>
      <c r="D4338" s="151"/>
      <c r="E4338" s="1"/>
      <c r="F4338" s="42"/>
      <c r="G4338" s="106"/>
      <c r="H4338" s="151"/>
    </row>
    <row r="4339" spans="1:8" s="110" customFormat="1" ht="17.25">
      <c r="A4339" s="28"/>
      <c r="B4339" s="149"/>
      <c r="C4339" s="28"/>
      <c r="D4339" s="151"/>
      <c r="E4339" s="1"/>
      <c r="F4339" s="42"/>
      <c r="G4339" s="106"/>
      <c r="H4339" s="151"/>
    </row>
    <row r="4340" spans="1:8" s="110" customFormat="1" ht="17.25">
      <c r="A4340" s="28"/>
      <c r="B4340" s="149"/>
      <c r="C4340" s="28"/>
      <c r="D4340" s="151"/>
      <c r="E4340" s="1"/>
      <c r="F4340" s="42"/>
      <c r="G4340" s="106"/>
      <c r="H4340" s="151"/>
    </row>
    <row r="4341" spans="1:8" s="110" customFormat="1" ht="17.25">
      <c r="A4341" s="28"/>
      <c r="B4341" s="149"/>
      <c r="C4341" s="28"/>
      <c r="D4341" s="151"/>
      <c r="E4341" s="1"/>
      <c r="F4341" s="42"/>
      <c r="G4341" s="106"/>
      <c r="H4341" s="151"/>
    </row>
    <row r="4342" spans="1:8" s="110" customFormat="1" ht="17.25">
      <c r="A4342" s="28"/>
      <c r="B4342" s="149"/>
      <c r="C4342" s="28"/>
      <c r="D4342" s="151"/>
      <c r="E4342" s="1"/>
      <c r="F4342" s="42"/>
      <c r="G4342" s="106"/>
      <c r="H4342" s="151"/>
    </row>
    <row r="4343" spans="1:8" s="110" customFormat="1" ht="12.75">
      <c r="A4343" s="282">
        <f>A4328+1</f>
        <v>282</v>
      </c>
      <c r="B4343" s="1115" t="s">
        <v>3976</v>
      </c>
      <c r="C4343" s="1116"/>
      <c r="D4343" s="1116"/>
      <c r="E4343" s="1116"/>
      <c r="F4343" s="1116"/>
      <c r="G4343" s="1116"/>
      <c r="H4343" s="1116"/>
    </row>
    <row r="4344" spans="1:8" ht="23.25" customHeight="1">
      <c r="A4344" s="1019" t="s">
        <v>4501</v>
      </c>
      <c r="B4344" s="1115"/>
      <c r="C4344" s="1116"/>
      <c r="D4344" s="1116"/>
      <c r="E4344" s="1116"/>
      <c r="F4344" s="1116"/>
      <c r="G4344" s="1116"/>
      <c r="H4344" s="1116"/>
    </row>
    <row r="4345" spans="1:8" ht="21" customHeight="1">
      <c r="A4345" s="25"/>
      <c r="B4345" s="1075" t="s">
        <v>3968</v>
      </c>
      <c r="C4345" s="1075"/>
      <c r="D4345" s="1075"/>
      <c r="E4345" s="1075"/>
      <c r="F4345" s="1075"/>
      <c r="G4345" s="1075"/>
      <c r="H4345" s="1075"/>
    </row>
    <row r="4346" spans="1:8" ht="31.5">
      <c r="B4346" s="70" t="s">
        <v>3340</v>
      </c>
      <c r="C4346" s="70" t="s">
        <v>3341</v>
      </c>
      <c r="D4346" s="70" t="s">
        <v>3342</v>
      </c>
      <c r="E4346" s="70" t="s">
        <v>3343</v>
      </c>
      <c r="F4346" s="70" t="s">
        <v>3344</v>
      </c>
      <c r="G4346" s="70" t="s">
        <v>3345</v>
      </c>
      <c r="H4346" s="70" t="s">
        <v>1704</v>
      </c>
    </row>
    <row r="4347" spans="1:8" ht="17.25">
      <c r="A4347" s="28"/>
      <c r="B4347" s="1067" t="s">
        <v>614</v>
      </c>
      <c r="C4347" s="826" t="s">
        <v>790</v>
      </c>
      <c r="D4347" s="44">
        <v>5.27</v>
      </c>
      <c r="E4347" s="55" t="s">
        <v>1707</v>
      </c>
      <c r="F4347" s="111">
        <f>'update Rate'!F5</f>
        <v>525</v>
      </c>
      <c r="G4347" s="111">
        <f>FLOOR(D4347*F4347,0.01)</f>
        <v>2766.75</v>
      </c>
      <c r="H4347" s="828"/>
    </row>
    <row r="4348" spans="1:8" ht="17.25">
      <c r="B4348" s="1068"/>
      <c r="C4348" s="824" t="s">
        <v>615</v>
      </c>
      <c r="D4348" s="45">
        <v>0.52</v>
      </c>
      <c r="E4348" s="58" t="s">
        <v>1707</v>
      </c>
      <c r="F4348" s="126">
        <f>'update Rate'!F4</f>
        <v>375</v>
      </c>
      <c r="G4348" s="120">
        <f>FLOOR(D4348*F4348,0.01)</f>
        <v>195</v>
      </c>
      <c r="H4348" s="829">
        <f>SUM(G4347+G4348)</f>
        <v>2961.75</v>
      </c>
    </row>
    <row r="4349" spans="1:8" ht="15.75">
      <c r="B4349" s="70" t="s">
        <v>2330</v>
      </c>
      <c r="C4349" s="70" t="s">
        <v>3245</v>
      </c>
      <c r="D4349" s="833">
        <v>0.32900000000000001</v>
      </c>
      <c r="E4349" s="68" t="s">
        <v>2530</v>
      </c>
      <c r="F4349" s="105">
        <f>Swood</f>
        <v>126056.7</v>
      </c>
      <c r="G4349" s="832">
        <f>FLOOR(D4349*F4349,0.01)</f>
        <v>41472.65</v>
      </c>
      <c r="H4349" s="829">
        <f>SUM(G4349:G4349)</f>
        <v>41472.65</v>
      </c>
    </row>
    <row r="4350" spans="1:8" ht="16.5">
      <c r="F4350" s="42" t="s">
        <v>1708</v>
      </c>
      <c r="G4350" s="106"/>
      <c r="H4350" s="65">
        <f>SUM(H4348:H4349)</f>
        <v>44434.400000000001</v>
      </c>
    </row>
    <row r="4351" spans="1:8" ht="16.5">
      <c r="B4351" s="1" t="s">
        <v>1710</v>
      </c>
      <c r="F4351" s="42" t="s">
        <v>1688</v>
      </c>
      <c r="G4351" s="106"/>
      <c r="H4351" s="65">
        <f>FLOOR(H4350*0.15,0.01)</f>
        <v>6665.16</v>
      </c>
    </row>
    <row r="4352" spans="1:8" ht="16.5">
      <c r="A4352" s="28"/>
      <c r="B4352" s="147">
        <f>+H4352</f>
        <v>51099.56</v>
      </c>
      <c r="C4352" s="28" t="s">
        <v>3384</v>
      </c>
      <c r="D4352" s="103">
        <f>B4352/B4353</f>
        <v>5677.7288888888888</v>
      </c>
      <c r="E4352" s="1" t="s">
        <v>3385</v>
      </c>
      <c r="F4352" s="42" t="s">
        <v>1711</v>
      </c>
      <c r="G4352" s="106"/>
      <c r="H4352" s="103">
        <f>SUM(H4350:H4351)</f>
        <v>51099.56</v>
      </c>
    </row>
    <row r="4353" spans="1:8" ht="19.5" customHeight="1">
      <c r="A4353" s="28"/>
      <c r="B4353" s="149">
        <v>9</v>
      </c>
      <c r="C4353" s="28"/>
      <c r="D4353" s="151"/>
      <c r="F4353" s="42"/>
      <c r="G4353" s="106"/>
      <c r="H4353" s="151"/>
    </row>
    <row r="4354" spans="1:8" ht="21" customHeight="1">
      <c r="A4354" s="28"/>
      <c r="B4354" s="149"/>
      <c r="C4354" s="28"/>
      <c r="D4354" s="151"/>
      <c r="F4354" s="42"/>
      <c r="G4354" s="106"/>
      <c r="H4354" s="151"/>
    </row>
    <row r="4355" spans="1:8" ht="24.75" customHeight="1">
      <c r="A4355" s="282">
        <f>A4343+1</f>
        <v>283</v>
      </c>
      <c r="B4355" s="1115" t="s">
        <v>3971</v>
      </c>
      <c r="C4355" s="1116"/>
      <c r="D4355" s="1116"/>
      <c r="E4355" s="1116"/>
      <c r="F4355" s="1116"/>
      <c r="G4355" s="1116"/>
      <c r="H4355" s="1116"/>
    </row>
    <row r="4356" spans="1:8">
      <c r="A4356" s="1019" t="s">
        <v>4503</v>
      </c>
      <c r="B4356" s="1115"/>
      <c r="C4356" s="1116"/>
      <c r="D4356" s="1116"/>
      <c r="E4356" s="1116"/>
      <c r="F4356" s="1116"/>
      <c r="G4356" s="1116"/>
      <c r="H4356" s="1116"/>
    </row>
    <row r="4357" spans="1:8">
      <c r="A4357" s="25"/>
      <c r="B4357" s="1075" t="s">
        <v>3969</v>
      </c>
      <c r="C4357" s="1075"/>
      <c r="D4357" s="1075"/>
      <c r="E4357" s="1075"/>
      <c r="F4357" s="1075"/>
      <c r="G4357" s="1075"/>
      <c r="H4357" s="1075"/>
    </row>
    <row r="4358" spans="1:8" ht="31.5">
      <c r="B4358" s="70" t="s">
        <v>3340</v>
      </c>
      <c r="C4358" s="70" t="s">
        <v>3341</v>
      </c>
      <c r="D4358" s="70" t="s">
        <v>3342</v>
      </c>
      <c r="E4358" s="70" t="s">
        <v>3343</v>
      </c>
      <c r="F4358" s="70" t="s">
        <v>3344</v>
      </c>
      <c r="G4358" s="70" t="s">
        <v>3345</v>
      </c>
      <c r="H4358" s="70" t="s">
        <v>1704</v>
      </c>
    </row>
    <row r="4359" spans="1:8" ht="47.25">
      <c r="B4359" s="711" t="s">
        <v>2330</v>
      </c>
      <c r="C4359" s="70" t="s">
        <v>3970</v>
      </c>
      <c r="D4359" s="46">
        <v>1</v>
      </c>
      <c r="E4359" s="66" t="s">
        <v>2938</v>
      </c>
      <c r="F4359" s="103">
        <f>'update Rate'!F253</f>
        <v>1713.8</v>
      </c>
      <c r="G4359" s="103">
        <f>FLOOR(D4359*F4359,0.01)</f>
        <v>1713.8</v>
      </c>
      <c r="H4359" s="170">
        <f>SUM(G4359:G4359)</f>
        <v>1713.8</v>
      </c>
    </row>
    <row r="4360" spans="1:8" ht="16.5">
      <c r="F4360" s="42" t="s">
        <v>1708</v>
      </c>
      <c r="G4360" s="106"/>
      <c r="H4360" s="65">
        <f>SUM(H4358:H4359)</f>
        <v>1713.8</v>
      </c>
    </row>
    <row r="4361" spans="1:8" customFormat="1" ht="16.5">
      <c r="A4361" s="1"/>
      <c r="B4361" s="1" t="s">
        <v>3972</v>
      </c>
      <c r="C4361" s="1"/>
      <c r="D4361" s="1"/>
      <c r="E4361" s="1"/>
      <c r="F4361" s="42" t="s">
        <v>1688</v>
      </c>
      <c r="G4361" s="106"/>
      <c r="H4361" s="103">
        <f>FLOOR(H4360*0.15,0.01)</f>
        <v>257.07</v>
      </c>
    </row>
    <row r="4362" spans="1:8" ht="18" customHeight="1">
      <c r="A4362" s="28" t="s">
        <v>3384</v>
      </c>
      <c r="B4362" s="103">
        <f>+H4362</f>
        <v>1970.87</v>
      </c>
      <c r="C4362" s="1" t="s">
        <v>3385</v>
      </c>
      <c r="D4362" s="151"/>
      <c r="F4362" s="42" t="s">
        <v>1711</v>
      </c>
      <c r="G4362" s="106"/>
      <c r="H4362" s="103">
        <f>SUM(H4360:H4361)</f>
        <v>1970.87</v>
      </c>
    </row>
    <row r="4363" spans="1:8" ht="36" customHeight="1">
      <c r="B4363" s="121"/>
      <c r="G4363" s="2"/>
      <c r="H4363" s="2"/>
    </row>
    <row r="4364" spans="1:8" ht="36" customHeight="1">
      <c r="B4364" s="121"/>
      <c r="G4364" s="2"/>
      <c r="H4364" s="2"/>
    </row>
    <row r="4365" spans="1:8" ht="36" customHeight="1">
      <c r="B4365" s="121"/>
      <c r="G4365" s="2"/>
      <c r="H4365" s="2"/>
    </row>
    <row r="4366" spans="1:8" ht="36" customHeight="1">
      <c r="B4366" s="121"/>
      <c r="G4366" s="2"/>
      <c r="H4366" s="2"/>
    </row>
    <row r="4367" spans="1:8" ht="36" customHeight="1">
      <c r="B4367" s="121"/>
      <c r="G4367" s="2"/>
      <c r="H4367" s="2"/>
    </row>
    <row r="4368" spans="1:8" s="825" customFormat="1" ht="18">
      <c r="A4368" s="1"/>
      <c r="B4368" s="1"/>
      <c r="C4368" s="1"/>
      <c r="D4368" s="487"/>
      <c r="E4368" s="1"/>
      <c r="F4368" s="1"/>
      <c r="G4368" s="1"/>
      <c r="H4368" s="1"/>
    </row>
    <row r="4369" spans="1:8" s="825" customFormat="1" ht="19.5">
      <c r="A4369" s="1"/>
      <c r="B4369" s="1089"/>
      <c r="C4369" s="1089"/>
      <c r="D4369" s="1089"/>
      <c r="E4369" s="1089"/>
      <c r="F4369" s="1089"/>
      <c r="G4369" s="1089"/>
      <c r="H4369" s="1089"/>
    </row>
    <row r="4370" spans="1:8" s="825" customFormat="1" ht="19.5">
      <c r="A4370" s="282">
        <f>A4355+1</f>
        <v>284</v>
      </c>
      <c r="B4370" s="1076" t="s">
        <v>3979</v>
      </c>
      <c r="C4370" s="1089"/>
      <c r="D4370" s="1089"/>
      <c r="E4370" s="1089"/>
      <c r="F4370" s="1089"/>
      <c r="G4370" s="1089"/>
      <c r="H4370" s="1089"/>
    </row>
    <row r="4371" spans="1:8" customFormat="1" ht="19.5">
      <c r="A4371" s="1019" t="s">
        <v>4504</v>
      </c>
      <c r="B4371" s="1076" t="s">
        <v>3980</v>
      </c>
      <c r="C4371" s="1089"/>
      <c r="D4371" s="1089"/>
      <c r="E4371" s="1089"/>
      <c r="F4371" s="1089"/>
      <c r="G4371" s="1089"/>
      <c r="H4371" s="1089"/>
    </row>
    <row r="4372" spans="1:8">
      <c r="B4372" s="1117" t="s">
        <v>2773</v>
      </c>
      <c r="C4372" s="1117"/>
      <c r="D4372" s="1117"/>
      <c r="E4372" s="1117"/>
      <c r="F4372" s="1117"/>
      <c r="G4372" s="1117"/>
      <c r="H4372" s="1117"/>
    </row>
    <row r="4373" spans="1:8" ht="31.5">
      <c r="B4373" s="70" t="s">
        <v>3340</v>
      </c>
      <c r="C4373" s="70" t="s">
        <v>3341</v>
      </c>
      <c r="D4373" s="70" t="s">
        <v>3342</v>
      </c>
      <c r="E4373" s="70" t="s">
        <v>3343</v>
      </c>
      <c r="F4373" s="70" t="s">
        <v>3344</v>
      </c>
      <c r="G4373" s="70" t="s">
        <v>3345</v>
      </c>
      <c r="H4373" s="70" t="s">
        <v>1704</v>
      </c>
    </row>
    <row r="4374" spans="1:8" ht="17.25">
      <c r="B4374" s="1067" t="s">
        <v>1705</v>
      </c>
      <c r="C4374" s="822" t="s">
        <v>610</v>
      </c>
      <c r="D4374" s="43">
        <v>1.8</v>
      </c>
      <c r="E4374" s="57" t="s">
        <v>1707</v>
      </c>
      <c r="F4374" s="111">
        <f>'update Rate'!F5</f>
        <v>525</v>
      </c>
      <c r="G4374" s="111">
        <f>FLOOR(D4374*F4374,0.01)</f>
        <v>945</v>
      </c>
      <c r="H4374" s="828"/>
    </row>
    <row r="4375" spans="1:8" ht="17.25">
      <c r="B4375" s="1070"/>
      <c r="C4375" s="58" t="s">
        <v>1647</v>
      </c>
      <c r="D4375" s="45">
        <v>1.5</v>
      </c>
      <c r="E4375" s="58" t="s">
        <v>1707</v>
      </c>
      <c r="F4375" s="126">
        <f>'update Rate'!F4</f>
        <v>375</v>
      </c>
      <c r="G4375" s="65">
        <f>FLOOR(D4375*F4375,0.01)</f>
        <v>562.5</v>
      </c>
      <c r="H4375" s="830">
        <f>SUM(G4374+G4375)</f>
        <v>1507.5</v>
      </c>
    </row>
    <row r="4376" spans="1:8" ht="17.25">
      <c r="B4376" s="1069" t="s">
        <v>2330</v>
      </c>
      <c r="C4376" s="57" t="s">
        <v>3978</v>
      </c>
      <c r="D4376" s="43">
        <v>0.26</v>
      </c>
      <c r="E4376" s="57" t="s">
        <v>2530</v>
      </c>
      <c r="F4376" s="114">
        <f>'update Rate'!F526</f>
        <v>52965</v>
      </c>
      <c r="G4376" s="114">
        <f>FLOOR(D4376*F4376,0.01)</f>
        <v>13770.9</v>
      </c>
      <c r="H4376" s="827"/>
    </row>
    <row r="4377" spans="1:8" ht="17.25">
      <c r="B4377" s="1095"/>
      <c r="C4377" s="55" t="s">
        <v>2272</v>
      </c>
      <c r="D4377" s="44">
        <v>0.4</v>
      </c>
      <c r="E4377" s="55" t="s">
        <v>3096</v>
      </c>
      <c r="F4377" s="113">
        <f>'update Rate'!F58</f>
        <v>99</v>
      </c>
      <c r="G4377" s="113">
        <f>FLOOR(D4377*F4377,0.01)</f>
        <v>39.6</v>
      </c>
      <c r="H4377" s="9"/>
    </row>
    <row r="4378" spans="1:8" ht="17.25">
      <c r="B4378" s="1070"/>
      <c r="C4378" s="58" t="s">
        <v>3977</v>
      </c>
      <c r="D4378" s="264">
        <v>160</v>
      </c>
      <c r="E4378" s="58" t="s">
        <v>1643</v>
      </c>
      <c r="F4378" s="65">
        <f>pkila</f>
        <v>1.87</v>
      </c>
      <c r="G4378" s="65">
        <f>FLOOR(D4378*F4378,0.01)</f>
        <v>299.2</v>
      </c>
      <c r="H4378" s="829">
        <f>SUM(G4376:G4378)</f>
        <v>14109.7</v>
      </c>
    </row>
    <row r="4379" spans="1:8" ht="15.75">
      <c r="F4379" s="42" t="s">
        <v>1708</v>
      </c>
      <c r="G4379" s="42"/>
      <c r="H4379" s="65">
        <f>SUM(H4375:H4378)</f>
        <v>15617.2</v>
      </c>
    </row>
    <row r="4380" spans="1:8" ht="15.75">
      <c r="B4380" s="1" t="s">
        <v>1710</v>
      </c>
      <c r="F4380" s="42" t="s">
        <v>1689</v>
      </c>
      <c r="G4380" s="42"/>
      <c r="H4380" s="103">
        <f>FLOOR(H4379*0.15,0.01)</f>
        <v>2342.58</v>
      </c>
    </row>
    <row r="4381" spans="1:8" ht="15.75">
      <c r="A4381" s="825"/>
      <c r="B4381" s="147">
        <f>+H4381</f>
        <v>17959.78</v>
      </c>
      <c r="C4381" s="28" t="s">
        <v>3384</v>
      </c>
      <c r="D4381" s="103">
        <f>INT(B4381/B4382*100)/100</f>
        <v>1795.97</v>
      </c>
      <c r="E4381" s="1" t="s">
        <v>3385</v>
      </c>
      <c r="F4381" s="42" t="s">
        <v>1711</v>
      </c>
      <c r="G4381" s="42"/>
      <c r="H4381" s="103">
        <f>SUM(H4379:H4380)</f>
        <v>17959.78</v>
      </c>
    </row>
    <row r="4382" spans="1:8" ht="20.25">
      <c r="B4382" s="149">
        <v>10</v>
      </c>
      <c r="F4382" s="823"/>
      <c r="G4382" s="823"/>
      <c r="H4382" s="823"/>
    </row>
    <row r="4383" spans="1:8" ht="18">
      <c r="D4383" s="487"/>
    </row>
    <row r="4384" spans="1:8">
      <c r="A4384" s="282">
        <f>A4370+1</f>
        <v>285</v>
      </c>
    </row>
    <row r="4385" spans="1:8" ht="19.5">
      <c r="A4385" s="1019" t="s">
        <v>4505</v>
      </c>
      <c r="B4385" s="1076" t="s">
        <v>3984</v>
      </c>
      <c r="C4385" s="1089"/>
      <c r="D4385" s="1089"/>
      <c r="E4385" s="1089"/>
      <c r="F4385" s="1089"/>
      <c r="G4385" s="1089"/>
      <c r="H4385" s="1089"/>
    </row>
    <row r="4386" spans="1:8" ht="18" customHeight="1">
      <c r="B4386" s="1117" t="s">
        <v>2773</v>
      </c>
      <c r="C4386" s="1117"/>
      <c r="D4386" s="1117"/>
      <c r="E4386" s="1117"/>
      <c r="F4386" s="1117"/>
      <c r="G4386" s="1117"/>
      <c r="H4386" s="1117"/>
    </row>
    <row r="4387" spans="1:8" ht="31.5">
      <c r="B4387" s="70" t="s">
        <v>3340</v>
      </c>
      <c r="C4387" s="70" t="s">
        <v>3341</v>
      </c>
      <c r="D4387" s="70" t="s">
        <v>3342</v>
      </c>
      <c r="E4387" s="70" t="s">
        <v>3343</v>
      </c>
      <c r="F4387" s="70" t="s">
        <v>3344</v>
      </c>
      <c r="G4387" s="70" t="s">
        <v>3345</v>
      </c>
      <c r="H4387" s="70" t="s">
        <v>1704</v>
      </c>
    </row>
    <row r="4388" spans="1:8" ht="17.25">
      <c r="B4388" s="1067" t="s">
        <v>1705</v>
      </c>
      <c r="C4388" s="822" t="s">
        <v>610</v>
      </c>
      <c r="D4388" s="43">
        <v>2</v>
      </c>
      <c r="E4388" s="57" t="s">
        <v>1707</v>
      </c>
      <c r="F4388" s="111">
        <f>'update Rate'!F5</f>
        <v>525</v>
      </c>
      <c r="G4388" s="111">
        <f t="shared" ref="G4388:G4394" si="83">FLOOR(D4388*F4388,0.01)</f>
        <v>1050</v>
      </c>
      <c r="H4388" s="828"/>
    </row>
    <row r="4389" spans="1:8" ht="17.25">
      <c r="B4389" s="1070"/>
      <c r="C4389" s="58" t="s">
        <v>1647</v>
      </c>
      <c r="D4389" s="45">
        <v>2</v>
      </c>
      <c r="E4389" s="58" t="s">
        <v>1707</v>
      </c>
      <c r="F4389" s="126">
        <f>'update Rate'!F4</f>
        <v>375</v>
      </c>
      <c r="G4389" s="65">
        <f t="shared" si="83"/>
        <v>750</v>
      </c>
      <c r="H4389" s="830">
        <f>SUM(G4388+G4389)</f>
        <v>1800</v>
      </c>
    </row>
    <row r="4390" spans="1:8" ht="17.25">
      <c r="B4390" s="1069" t="s">
        <v>2330</v>
      </c>
      <c r="C4390" s="243" t="s">
        <v>3985</v>
      </c>
      <c r="D4390" s="48">
        <v>10.5</v>
      </c>
      <c r="E4390" s="57" t="s">
        <v>3170</v>
      </c>
      <c r="F4390" s="114">
        <f>'update Rate'!F73</f>
        <v>763.96</v>
      </c>
      <c r="G4390" s="114">
        <f t="shared" si="83"/>
        <v>8021.58</v>
      </c>
      <c r="H4390" s="827"/>
    </row>
    <row r="4391" spans="1:8" ht="17.25">
      <c r="B4391" s="1094"/>
      <c r="C4391" s="55" t="s">
        <v>4327</v>
      </c>
      <c r="D4391" s="54">
        <v>0.03</v>
      </c>
      <c r="E4391" s="55" t="s">
        <v>2530</v>
      </c>
      <c r="F4391" s="113">
        <f>'update Rate'!F526</f>
        <v>52965</v>
      </c>
      <c r="G4391" s="113">
        <f t="shared" si="83"/>
        <v>1588.95</v>
      </c>
      <c r="H4391" s="88"/>
    </row>
    <row r="4392" spans="1:8" ht="17.25">
      <c r="B4392" s="1094"/>
      <c r="C4392" s="55" t="s">
        <v>3981</v>
      </c>
      <c r="D4392" s="54">
        <v>70</v>
      </c>
      <c r="E4392" s="55" t="s">
        <v>1643</v>
      </c>
      <c r="F4392" s="113">
        <f>'update Rate'!F528</f>
        <v>5.78</v>
      </c>
      <c r="G4392" s="113">
        <f t="shared" si="83"/>
        <v>404.6</v>
      </c>
      <c r="H4392" s="88"/>
    </row>
    <row r="4393" spans="1:8" ht="17.25">
      <c r="B4393" s="1095"/>
      <c r="C4393" s="55" t="s">
        <v>3982</v>
      </c>
      <c r="D4393" s="54">
        <v>160</v>
      </c>
      <c r="E4393" s="55" t="s">
        <v>1643</v>
      </c>
      <c r="F4393" s="113">
        <f>'update Rate'!F529</f>
        <v>6.05</v>
      </c>
      <c r="G4393" s="113">
        <f t="shared" si="83"/>
        <v>968</v>
      </c>
      <c r="H4393" s="9"/>
    </row>
    <row r="4394" spans="1:8" ht="15" customHeight="1">
      <c r="B4394" s="1070"/>
      <c r="C4394" s="58" t="s">
        <v>3983</v>
      </c>
      <c r="D4394" s="45">
        <v>0.36</v>
      </c>
      <c r="E4394" s="58" t="s">
        <v>3096</v>
      </c>
      <c r="F4394" s="65">
        <f>'update Rate'!F58</f>
        <v>99</v>
      </c>
      <c r="G4394" s="65">
        <f t="shared" si="83"/>
        <v>35.64</v>
      </c>
      <c r="H4394" s="829">
        <f>SUM(G4390:G4394)</f>
        <v>11018.77</v>
      </c>
    </row>
    <row r="4395" spans="1:8" ht="18" customHeight="1">
      <c r="F4395" s="42" t="s">
        <v>1708</v>
      </c>
      <c r="G4395" s="42"/>
      <c r="H4395" s="65">
        <f>SUM(H4389:H4394)</f>
        <v>12818.77</v>
      </c>
    </row>
    <row r="4396" spans="1:8" ht="15.75">
      <c r="B4396" s="1" t="s">
        <v>1710</v>
      </c>
      <c r="F4396" s="42" t="s">
        <v>1689</v>
      </c>
      <c r="G4396" s="42"/>
      <c r="H4396" s="103">
        <f>FLOOR(H4395*0.15,0.01)</f>
        <v>1922.81</v>
      </c>
    </row>
    <row r="4397" spans="1:8" customFormat="1" ht="15.75">
      <c r="A4397" s="825"/>
      <c r="B4397" s="147">
        <f>+H4397</f>
        <v>14741.58</v>
      </c>
      <c r="C4397" s="28" t="s">
        <v>3384</v>
      </c>
      <c r="D4397" s="103">
        <f>INT(B4397/B4398*100)/100</f>
        <v>1474.15</v>
      </c>
      <c r="E4397" s="1" t="s">
        <v>3385</v>
      </c>
      <c r="F4397" s="42" t="s">
        <v>1711</v>
      </c>
      <c r="G4397" s="42"/>
      <c r="H4397" s="103">
        <f>SUM(H4395:H4396)</f>
        <v>14741.58</v>
      </c>
    </row>
    <row r="4398" spans="1:8" ht="20.25">
      <c r="B4398" s="149">
        <v>10</v>
      </c>
      <c r="F4398" s="823"/>
      <c r="G4398" s="823"/>
      <c r="H4398" s="823"/>
    </row>
    <row r="4399" spans="1:8" ht="20.25">
      <c r="B4399" s="149"/>
      <c r="F4399" s="823"/>
      <c r="G4399" s="823"/>
      <c r="H4399" s="823"/>
    </row>
    <row r="4400" spans="1:8" ht="19.5">
      <c r="A4400" s="282">
        <f>A4384+1</f>
        <v>286</v>
      </c>
      <c r="B4400" s="1076" t="s">
        <v>3990</v>
      </c>
      <c r="C4400" s="1089"/>
      <c r="D4400" s="1089"/>
      <c r="E4400" s="1089"/>
      <c r="F4400" s="1089"/>
      <c r="G4400" s="1089"/>
      <c r="H4400" s="1089"/>
    </row>
    <row r="4401" spans="1:8" ht="18" customHeight="1">
      <c r="A4401" s="1019" t="s">
        <v>4506</v>
      </c>
      <c r="B4401" s="834" t="s">
        <v>3991</v>
      </c>
    </row>
    <row r="4402" spans="1:8">
      <c r="B4402" s="1117" t="s">
        <v>3988</v>
      </c>
      <c r="C4402" s="1117"/>
      <c r="D4402" s="1117"/>
      <c r="E4402" s="1117"/>
      <c r="F4402" s="1117"/>
      <c r="G4402" s="1117"/>
      <c r="H4402" s="1117"/>
    </row>
    <row r="4403" spans="1:8" ht="31.5">
      <c r="B4403" s="70" t="s">
        <v>3340</v>
      </c>
      <c r="C4403" s="70" t="s">
        <v>3341</v>
      </c>
      <c r="D4403" s="70" t="s">
        <v>3342</v>
      </c>
      <c r="E4403" s="70" t="s">
        <v>3343</v>
      </c>
      <c r="F4403" s="70" t="s">
        <v>3344</v>
      </c>
      <c r="G4403" s="70" t="s">
        <v>3345</v>
      </c>
      <c r="H4403" s="70" t="s">
        <v>1704</v>
      </c>
    </row>
    <row r="4404" spans="1:8" ht="17.25">
      <c r="B4404" s="1067" t="s">
        <v>1705</v>
      </c>
      <c r="C4404" s="822" t="s">
        <v>610</v>
      </c>
      <c r="D4404" s="43">
        <v>23</v>
      </c>
      <c r="E4404" s="57" t="s">
        <v>1707</v>
      </c>
      <c r="F4404" s="111">
        <f>'update Rate'!F5</f>
        <v>525</v>
      </c>
      <c r="G4404" s="111">
        <f>FLOOR(D4404*F4404,0.01)</f>
        <v>12075</v>
      </c>
      <c r="H4404" s="828"/>
    </row>
    <row r="4405" spans="1:8" ht="17.25">
      <c r="B4405" s="1070"/>
      <c r="C4405" s="58" t="s">
        <v>1647</v>
      </c>
      <c r="D4405" s="45">
        <v>2.2999999999999998</v>
      </c>
      <c r="E4405" s="58" t="s">
        <v>1707</v>
      </c>
      <c r="F4405" s="126">
        <f>'update Rate'!F4</f>
        <v>375</v>
      </c>
      <c r="G4405" s="65">
        <f>FLOOR(D4405*F4405,0.01)</f>
        <v>862.5</v>
      </c>
      <c r="H4405" s="830">
        <f>SUM(G4404+G4405)</f>
        <v>12937.5</v>
      </c>
    </row>
    <row r="4406" spans="1:8" ht="17.25">
      <c r="B4406" s="1069" t="s">
        <v>2330</v>
      </c>
      <c r="C4406" s="57" t="s">
        <v>2178</v>
      </c>
      <c r="D4406" s="48">
        <v>0.35</v>
      </c>
      <c r="E4406" s="57" t="s">
        <v>2530</v>
      </c>
      <c r="F4406" s="114">
        <f>awood</f>
        <v>120054</v>
      </c>
      <c r="G4406" s="114">
        <f>FLOOR(D4406*F4406,0.01)</f>
        <v>42018.9</v>
      </c>
      <c r="H4406" s="827"/>
    </row>
    <row r="4407" spans="1:8" ht="17.25">
      <c r="B4407" s="1094"/>
      <c r="C4407" s="55" t="s">
        <v>3834</v>
      </c>
      <c r="D4407" s="54">
        <v>75</v>
      </c>
      <c r="E4407" s="55" t="s">
        <v>3170</v>
      </c>
      <c r="F4407" s="113">
        <f>plywood4</f>
        <v>156.02000000000001</v>
      </c>
      <c r="G4407" s="113">
        <f>FLOOR(D4407*F4407,0.01)</f>
        <v>11701.5</v>
      </c>
      <c r="H4407" s="88"/>
    </row>
    <row r="4408" spans="1:8" ht="15.75">
      <c r="B4408" s="1094"/>
      <c r="C4408" s="55" t="s">
        <v>3989</v>
      </c>
      <c r="D4408" s="55" t="s">
        <v>3173</v>
      </c>
      <c r="E4408" s="55" t="s">
        <v>3171</v>
      </c>
      <c r="F4408" s="113">
        <v>1250</v>
      </c>
      <c r="G4408" s="113">
        <f>F4408</f>
        <v>1250</v>
      </c>
      <c r="H4408" s="88"/>
    </row>
    <row r="4409" spans="1:8" ht="15.75">
      <c r="B4409" s="1070"/>
      <c r="C4409" s="58" t="s">
        <v>2272</v>
      </c>
      <c r="D4409" s="58" t="s">
        <v>3173</v>
      </c>
      <c r="E4409" s="58" t="s">
        <v>3171</v>
      </c>
      <c r="F4409" s="65">
        <v>125</v>
      </c>
      <c r="G4409" s="65">
        <f>F4409</f>
        <v>125</v>
      </c>
      <c r="H4409" s="829">
        <f>SUM(G4406:G4409)</f>
        <v>55095.4</v>
      </c>
    </row>
    <row r="4410" spans="1:8" ht="18" customHeight="1">
      <c r="F4410" s="42" t="s">
        <v>1708</v>
      </c>
      <c r="G4410" s="42"/>
      <c r="H4410" s="65">
        <f>SUM(H4405:H4409)</f>
        <v>68032.899999999994</v>
      </c>
    </row>
    <row r="4411" spans="1:8" ht="15.75">
      <c r="B4411" s="1" t="s">
        <v>1710</v>
      </c>
      <c r="F4411" s="42" t="s">
        <v>1689</v>
      </c>
      <c r="G4411" s="42"/>
      <c r="H4411" s="103">
        <f>FLOOR(H4410*0.15,0.01)</f>
        <v>10204.93</v>
      </c>
    </row>
    <row r="4412" spans="1:8" ht="15.75">
      <c r="A4412" s="825"/>
      <c r="B4412" s="147">
        <f>+H4412</f>
        <v>78237.829999999987</v>
      </c>
      <c r="C4412" s="28" t="s">
        <v>3384</v>
      </c>
      <c r="D4412" s="103">
        <f>INT(B4412/B4413*100)/100</f>
        <v>2198.92</v>
      </c>
      <c r="E4412" s="1" t="s">
        <v>3385</v>
      </c>
      <c r="F4412" s="42" t="s">
        <v>1711</v>
      </c>
      <c r="G4412" s="42"/>
      <c r="H4412" s="103">
        <f>SUM(H4410:H4411)</f>
        <v>78237.829999999987</v>
      </c>
    </row>
    <row r="4413" spans="1:8" ht="20.25">
      <c r="B4413" s="149">
        <v>35.58</v>
      </c>
      <c r="F4413" s="823"/>
      <c r="G4413" s="823"/>
      <c r="H4413" s="823"/>
    </row>
    <row r="4414" spans="1:8" ht="20.25">
      <c r="B4414" s="149"/>
      <c r="F4414" s="823"/>
      <c r="G4414" s="823"/>
      <c r="H4414" s="823"/>
    </row>
    <row r="4415" spans="1:8" ht="16.5" customHeight="1">
      <c r="A4415" s="282">
        <f>A4400+1</f>
        <v>287</v>
      </c>
      <c r="B4415" s="1076" t="s">
        <v>3990</v>
      </c>
      <c r="C4415" s="1089"/>
      <c r="D4415" s="1089"/>
      <c r="E4415" s="1089"/>
      <c r="F4415" s="1089"/>
      <c r="G4415" s="1089"/>
      <c r="H4415" s="1089"/>
    </row>
    <row r="4416" spans="1:8" ht="19.5">
      <c r="A4416" s="1019" t="s">
        <v>4507</v>
      </c>
      <c r="B4416" s="834" t="s">
        <v>3992</v>
      </c>
    </row>
    <row r="4417" spans="1:8">
      <c r="B4417" s="1117" t="s">
        <v>3988</v>
      </c>
      <c r="C4417" s="1117"/>
      <c r="D4417" s="1117"/>
      <c r="E4417" s="1117"/>
      <c r="F4417" s="1117"/>
      <c r="G4417" s="1117"/>
      <c r="H4417" s="1117"/>
    </row>
    <row r="4418" spans="1:8" ht="31.5">
      <c r="B4418" s="70" t="s">
        <v>3340</v>
      </c>
      <c r="C4418" s="70" t="s">
        <v>3341</v>
      </c>
      <c r="D4418" s="70" t="s">
        <v>3342</v>
      </c>
      <c r="E4418" s="70" t="s">
        <v>3343</v>
      </c>
      <c r="F4418" s="70" t="s">
        <v>3344</v>
      </c>
      <c r="G4418" s="70" t="s">
        <v>3345</v>
      </c>
      <c r="H4418" s="70" t="s">
        <v>1704</v>
      </c>
    </row>
    <row r="4419" spans="1:8" ht="17.25">
      <c r="B4419" s="1067" t="s">
        <v>1705</v>
      </c>
      <c r="C4419" s="822" t="s">
        <v>610</v>
      </c>
      <c r="D4419" s="43">
        <v>30</v>
      </c>
      <c r="E4419" s="57" t="s">
        <v>1707</v>
      </c>
      <c r="F4419" s="111">
        <f>'update Rate'!F5</f>
        <v>525</v>
      </c>
      <c r="G4419" s="111">
        <f>FLOOR(D4419*F4419,0.01)</f>
        <v>15750</v>
      </c>
      <c r="H4419" s="828"/>
    </row>
    <row r="4420" spans="1:8" ht="17.25">
      <c r="B4420" s="1070"/>
      <c r="C4420" s="58" t="s">
        <v>1647</v>
      </c>
      <c r="D4420" s="45">
        <v>3</v>
      </c>
      <c r="E4420" s="58" t="s">
        <v>1707</v>
      </c>
      <c r="F4420" s="126">
        <f>'update Rate'!F4</f>
        <v>375</v>
      </c>
      <c r="G4420" s="65">
        <f>FLOOR(D4420*F4420,0.01)</f>
        <v>1125</v>
      </c>
      <c r="H4420" s="830">
        <f>SUM(G4419+G4420)</f>
        <v>16875</v>
      </c>
    </row>
    <row r="4421" spans="1:8" ht="18" customHeight="1">
      <c r="B4421" s="1069" t="s">
        <v>2330</v>
      </c>
      <c r="C4421" s="57" t="s">
        <v>2178</v>
      </c>
      <c r="D4421" s="48">
        <v>1.7669999999999999</v>
      </c>
      <c r="E4421" s="57" t="s">
        <v>2530</v>
      </c>
      <c r="F4421" s="114">
        <f>awood</f>
        <v>120054</v>
      </c>
      <c r="G4421" s="114">
        <f>FLOOR(D4421*F4421,0.01)</f>
        <v>212135.41</v>
      </c>
      <c r="H4421" s="827"/>
    </row>
    <row r="4422" spans="1:8" ht="15.75">
      <c r="B4422" s="1094"/>
      <c r="C4422" s="55" t="s">
        <v>3989</v>
      </c>
      <c r="D4422" s="55" t="s">
        <v>3173</v>
      </c>
      <c r="E4422" s="55" t="s">
        <v>3171</v>
      </c>
      <c r="F4422" s="113">
        <v>1250</v>
      </c>
      <c r="G4422" s="113">
        <f>F4422</f>
        <v>1250</v>
      </c>
      <c r="H4422" s="88"/>
    </row>
    <row r="4423" spans="1:8" ht="15.75">
      <c r="B4423" s="1070"/>
      <c r="C4423" s="58" t="s">
        <v>2272</v>
      </c>
      <c r="D4423" s="58" t="s">
        <v>3173</v>
      </c>
      <c r="E4423" s="58" t="s">
        <v>3171</v>
      </c>
      <c r="F4423" s="65">
        <v>125</v>
      </c>
      <c r="G4423" s="65">
        <f>F4423</f>
        <v>125</v>
      </c>
      <c r="H4423" s="829">
        <f>SUM(G4421:G4423)</f>
        <v>213510.41</v>
      </c>
    </row>
    <row r="4424" spans="1:8" ht="15.75">
      <c r="F4424" s="42" t="s">
        <v>1708</v>
      </c>
      <c r="G4424" s="42"/>
      <c r="H4424" s="65">
        <f>SUM(H4420:H4423)</f>
        <v>230385.41</v>
      </c>
    </row>
    <row r="4425" spans="1:8" ht="15.75">
      <c r="B4425" s="1" t="s">
        <v>1710</v>
      </c>
      <c r="F4425" s="42" t="s">
        <v>1689</v>
      </c>
      <c r="G4425" s="42"/>
      <c r="H4425" s="103">
        <f>FLOOR(H4424*0.15,0.01)</f>
        <v>34557.81</v>
      </c>
    </row>
    <row r="4426" spans="1:8" ht="18" customHeight="1">
      <c r="A4426" s="825"/>
      <c r="B4426" s="147">
        <f>+H4426</f>
        <v>264943.21999999997</v>
      </c>
      <c r="C4426" s="28" t="s">
        <v>3384</v>
      </c>
      <c r="D4426" s="103">
        <f>INT(B4426/B4427*100)/100</f>
        <v>7448.92</v>
      </c>
      <c r="E4426" s="1" t="s">
        <v>3385</v>
      </c>
      <c r="F4426" s="42" t="s">
        <v>1711</v>
      </c>
      <c r="G4426" s="42"/>
      <c r="H4426" s="103">
        <f>SUM(H4424:H4425)</f>
        <v>264943.21999999997</v>
      </c>
    </row>
    <row r="4427" spans="1:8" ht="20.25">
      <c r="B4427" s="149">
        <v>35.567999999999998</v>
      </c>
      <c r="F4427" s="823"/>
      <c r="G4427" s="823"/>
      <c r="H4427" s="823"/>
    </row>
    <row r="4428" spans="1:8" ht="20.25">
      <c r="B4428" s="149"/>
      <c r="F4428" s="823"/>
      <c r="G4428" s="823"/>
      <c r="H4428" s="823"/>
    </row>
    <row r="4429" spans="1:8" ht="19.5">
      <c r="A4429" s="282">
        <f>A4415+1</f>
        <v>288</v>
      </c>
      <c r="B4429" s="1076" t="s">
        <v>3993</v>
      </c>
      <c r="C4429" s="1089"/>
      <c r="D4429" s="1089"/>
      <c r="E4429" s="1089"/>
      <c r="F4429" s="1089"/>
      <c r="G4429" s="1089"/>
      <c r="H4429" s="1089"/>
    </row>
    <row r="4430" spans="1:8" ht="22.5" customHeight="1">
      <c r="A4430" s="1019" t="s">
        <v>4508</v>
      </c>
      <c r="B4430" s="1076" t="s">
        <v>3994</v>
      </c>
      <c r="C4430" s="1089"/>
      <c r="D4430" s="1089"/>
      <c r="E4430" s="1089"/>
      <c r="F4430" s="1089"/>
      <c r="G4430" s="1089"/>
      <c r="H4430" s="1089"/>
    </row>
    <row r="4431" spans="1:8" ht="18" customHeight="1">
      <c r="B4431" s="1117" t="s">
        <v>3988</v>
      </c>
      <c r="C4431" s="1117"/>
      <c r="D4431" s="1117"/>
      <c r="E4431" s="1117"/>
      <c r="F4431" s="1117"/>
      <c r="G4431" s="1117"/>
      <c r="H4431" s="1117"/>
    </row>
    <row r="4432" spans="1:8" ht="31.5">
      <c r="B4432" s="70" t="s">
        <v>3340</v>
      </c>
      <c r="C4432" s="70" t="s">
        <v>3341</v>
      </c>
      <c r="D4432" s="70" t="s">
        <v>3342</v>
      </c>
      <c r="E4432" s="70" t="s">
        <v>3343</v>
      </c>
      <c r="F4432" s="70" t="s">
        <v>3344</v>
      </c>
      <c r="G4432" s="70" t="s">
        <v>3345</v>
      </c>
      <c r="H4432" s="70" t="s">
        <v>1704</v>
      </c>
    </row>
    <row r="4433" spans="1:8" ht="17.25">
      <c r="B4433" s="1067" t="s">
        <v>1705</v>
      </c>
      <c r="C4433" s="822" t="s">
        <v>610</v>
      </c>
      <c r="D4433" s="43">
        <v>23</v>
      </c>
      <c r="E4433" s="57" t="s">
        <v>1707</v>
      </c>
      <c r="F4433" s="111">
        <f>'update Rate'!F5</f>
        <v>525</v>
      </c>
      <c r="G4433" s="111">
        <f>FLOOR(D4433*F4433,0.01)</f>
        <v>12075</v>
      </c>
      <c r="H4433" s="828"/>
    </row>
    <row r="4434" spans="1:8" ht="17.25">
      <c r="B4434" s="1070"/>
      <c r="C4434" s="58" t="s">
        <v>1647</v>
      </c>
      <c r="D4434" s="45">
        <v>2.2999999999999998</v>
      </c>
      <c r="E4434" s="58" t="s">
        <v>1707</v>
      </c>
      <c r="F4434" s="126">
        <f>'update Rate'!F4</f>
        <v>375</v>
      </c>
      <c r="G4434" s="65">
        <f>FLOOR(D4434*F4434,0.01)</f>
        <v>862.5</v>
      </c>
      <c r="H4434" s="830">
        <f>SUM(G4433+G4434)</f>
        <v>12937.5</v>
      </c>
    </row>
    <row r="4435" spans="1:8" ht="17.25">
      <c r="B4435" s="1069" t="s">
        <v>2330</v>
      </c>
      <c r="C4435" s="57" t="s">
        <v>2178</v>
      </c>
      <c r="D4435" s="48">
        <v>0.45</v>
      </c>
      <c r="E4435" s="57" t="s">
        <v>2530</v>
      </c>
      <c r="F4435" s="114">
        <f>awood</f>
        <v>120054</v>
      </c>
      <c r="G4435" s="114">
        <f>FLOOR(D4435*F4435,0.01)</f>
        <v>54024.3</v>
      </c>
      <c r="H4435" s="827"/>
    </row>
    <row r="4436" spans="1:8" ht="15" customHeight="1">
      <c r="B4436" s="1094"/>
      <c r="C4436" s="55" t="s">
        <v>3995</v>
      </c>
      <c r="D4436" s="54">
        <v>37.5</v>
      </c>
      <c r="E4436" s="55" t="s">
        <v>3170</v>
      </c>
      <c r="F4436" s="113">
        <f>'update Rate'!F74</f>
        <v>451.92</v>
      </c>
      <c r="G4436" s="113">
        <f>FLOOR(D4436*F4436,0.01)</f>
        <v>16947</v>
      </c>
      <c r="H4436" s="88"/>
    </row>
    <row r="4437" spans="1:8" ht="15.75">
      <c r="B4437" s="1094"/>
      <c r="C4437" s="55" t="s">
        <v>3989</v>
      </c>
      <c r="D4437" s="55" t="s">
        <v>3173</v>
      </c>
      <c r="E4437" s="55" t="s">
        <v>3171</v>
      </c>
      <c r="F4437" s="113">
        <v>1250</v>
      </c>
      <c r="G4437" s="113">
        <f>F4437</f>
        <v>1250</v>
      </c>
      <c r="H4437" s="88"/>
    </row>
    <row r="4438" spans="1:8" ht="15.75">
      <c r="B4438" s="1070"/>
      <c r="C4438" s="58" t="s">
        <v>2272</v>
      </c>
      <c r="D4438" s="58" t="s">
        <v>3173</v>
      </c>
      <c r="E4438" s="58" t="s">
        <v>3171</v>
      </c>
      <c r="F4438" s="65">
        <v>125</v>
      </c>
      <c r="G4438" s="65">
        <f>F4438</f>
        <v>125</v>
      </c>
      <c r="H4438" s="829">
        <f>SUM(G4435:G4438)</f>
        <v>72346.3</v>
      </c>
    </row>
    <row r="4439" spans="1:8" ht="15.75">
      <c r="F4439" s="42" t="s">
        <v>1708</v>
      </c>
      <c r="G4439" s="42"/>
      <c r="H4439" s="65">
        <f>SUM(H4434:H4438)</f>
        <v>85283.8</v>
      </c>
    </row>
    <row r="4440" spans="1:8" ht="15.75">
      <c r="B4440" s="1" t="s">
        <v>1710</v>
      </c>
      <c r="F4440" s="42" t="s">
        <v>1689</v>
      </c>
      <c r="G4440" s="42"/>
      <c r="H4440" s="103">
        <f>FLOOR(H4439*0.15,0.01)</f>
        <v>12792.57</v>
      </c>
    </row>
    <row r="4441" spans="1:8" ht="18" customHeight="1">
      <c r="A4441" s="825"/>
      <c r="B4441" s="147">
        <f>+H4441</f>
        <v>98076.37</v>
      </c>
      <c r="C4441" s="28" t="s">
        <v>3384</v>
      </c>
      <c r="D4441" s="103">
        <f>INT(B4441/B4442*100)/100</f>
        <v>2756.5</v>
      </c>
      <c r="E4441" s="1" t="s">
        <v>3385</v>
      </c>
      <c r="F4441" s="42" t="s">
        <v>1711</v>
      </c>
      <c r="G4441" s="42"/>
      <c r="H4441" s="103">
        <f>SUM(H4439:H4440)</f>
        <v>98076.37</v>
      </c>
    </row>
    <row r="4442" spans="1:8" ht="20.25">
      <c r="B4442" s="149">
        <v>35.58</v>
      </c>
      <c r="F4442" s="823"/>
      <c r="G4442" s="823"/>
      <c r="H4442" s="823"/>
    </row>
    <row r="4443" spans="1:8" ht="20.25">
      <c r="B4443" s="149"/>
      <c r="F4443" s="835"/>
      <c r="G4443" s="835"/>
      <c r="H4443" s="835"/>
    </row>
    <row r="4444" spans="1:8" ht="20.25">
      <c r="B4444" s="149"/>
      <c r="F4444" s="1035"/>
      <c r="G4444" s="1035"/>
      <c r="H4444" s="1035"/>
    </row>
    <row r="4445" spans="1:8" ht="20.25">
      <c r="B4445" s="149"/>
      <c r="F4445" s="1035"/>
      <c r="G4445" s="1035"/>
      <c r="H4445" s="1035"/>
    </row>
    <row r="4446" spans="1:8" ht="20.25">
      <c r="B4446" s="149"/>
      <c r="F4446" s="1035"/>
      <c r="G4446" s="1035"/>
      <c r="H4446" s="1035"/>
    </row>
    <row r="4447" spans="1:8" ht="20.25">
      <c r="B4447" s="149"/>
      <c r="F4447" s="1035"/>
      <c r="G4447" s="1035"/>
      <c r="H4447" s="1035"/>
    </row>
    <row r="4448" spans="1:8" ht="20.25">
      <c r="B4448" s="149"/>
      <c r="F4448" s="835"/>
      <c r="G4448" s="835"/>
      <c r="H4448" s="835"/>
    </row>
    <row r="4449" spans="1:8" ht="20.25">
      <c r="B4449" s="149"/>
      <c r="F4449" s="823"/>
      <c r="G4449" s="823"/>
      <c r="H4449" s="823"/>
    </row>
    <row r="4450" spans="1:8" ht="19.5">
      <c r="A4450" s="32"/>
      <c r="B4450" s="1077" t="s">
        <v>3301</v>
      </c>
      <c r="C4450" s="1089"/>
      <c r="D4450" s="1089"/>
      <c r="E4450" s="1089"/>
      <c r="F4450" s="1089"/>
      <c r="G4450" s="1089"/>
      <c r="H4450" s="1089"/>
    </row>
    <row r="4451" spans="1:8" ht="19.5">
      <c r="A4451" s="282">
        <f>A4429+1</f>
        <v>289</v>
      </c>
      <c r="B4451" s="1089" t="s">
        <v>3107</v>
      </c>
      <c r="C4451" s="1089"/>
      <c r="D4451" s="1089"/>
      <c r="E4451" s="1089"/>
      <c r="F4451" s="1089"/>
      <c r="G4451" s="1089"/>
      <c r="H4451" s="1089"/>
    </row>
    <row r="4452" spans="1:8" ht="19.5">
      <c r="A4452" s="1019" t="s">
        <v>4509</v>
      </c>
      <c r="B4452" s="1089" t="s">
        <v>2968</v>
      </c>
      <c r="C4452" s="1089"/>
      <c r="D4452" s="1089"/>
      <c r="E4452" s="1089"/>
      <c r="F4452" s="1089"/>
      <c r="G4452" s="1089"/>
      <c r="H4452" s="1089"/>
    </row>
    <row r="4453" spans="1:8">
      <c r="A4453" s="15" t="s">
        <v>3534</v>
      </c>
      <c r="B4453" s="1092" t="s">
        <v>126</v>
      </c>
      <c r="C4453" s="1092"/>
      <c r="D4453" s="1092"/>
      <c r="E4453" s="1092"/>
      <c r="F4453" s="1092"/>
      <c r="G4453" s="1092"/>
      <c r="H4453" s="1092"/>
    </row>
    <row r="4454" spans="1:8" ht="31.5">
      <c r="B4454" s="70" t="s">
        <v>3340</v>
      </c>
      <c r="C4454" s="70" t="s">
        <v>3341</v>
      </c>
      <c r="D4454" s="70" t="s">
        <v>3342</v>
      </c>
      <c r="E4454" s="70" t="s">
        <v>3343</v>
      </c>
      <c r="F4454" s="70" t="s">
        <v>3344</v>
      </c>
      <c r="G4454" s="70" t="s">
        <v>3345</v>
      </c>
      <c r="H4454" s="70" t="s">
        <v>1704</v>
      </c>
    </row>
    <row r="4455" spans="1:8" ht="17.25">
      <c r="B4455" s="12" t="s">
        <v>1705</v>
      </c>
      <c r="C4455" s="60" t="s">
        <v>610</v>
      </c>
      <c r="D4455" s="43">
        <v>4.26</v>
      </c>
      <c r="E4455" s="57" t="s">
        <v>1707</v>
      </c>
      <c r="F4455" s="111">
        <f>mason</f>
        <v>525</v>
      </c>
      <c r="G4455" s="111">
        <f t="shared" ref="G4455:G4462" si="84">FLOOR(D4455*F4455,0.01)</f>
        <v>2236.5</v>
      </c>
      <c r="H4455" s="112"/>
    </row>
    <row r="4456" spans="1:8" ht="15" customHeight="1">
      <c r="B4456" s="15"/>
      <c r="C4456" s="58" t="s">
        <v>1647</v>
      </c>
      <c r="D4456" s="51">
        <v>0.42599999999999999</v>
      </c>
      <c r="E4456" s="58" t="s">
        <v>1707</v>
      </c>
      <c r="F4456" s="65">
        <f>'update Rate'!F4</f>
        <v>375</v>
      </c>
      <c r="G4456" s="65">
        <f t="shared" si="84"/>
        <v>159.75</v>
      </c>
      <c r="H4456" s="125">
        <f>SUM(G4455:G4456)</f>
        <v>2396.25</v>
      </c>
    </row>
    <row r="4457" spans="1:8" ht="17.25">
      <c r="B4457" s="1094" t="s">
        <v>2330</v>
      </c>
      <c r="C4457" s="294" t="s">
        <v>4519</v>
      </c>
      <c r="D4457" s="54">
        <v>0.5</v>
      </c>
      <c r="E4457" s="55" t="s">
        <v>2530</v>
      </c>
      <c r="F4457" s="113">
        <f>awood</f>
        <v>120054</v>
      </c>
      <c r="G4457" s="113">
        <f t="shared" si="84"/>
        <v>60027</v>
      </c>
      <c r="H4457" s="86"/>
    </row>
    <row r="4458" spans="1:8" ht="18" customHeight="1">
      <c r="B4458" s="1095"/>
      <c r="C4458" s="63" t="s">
        <v>3240</v>
      </c>
      <c r="D4458" s="44">
        <v>31.54</v>
      </c>
      <c r="E4458" s="55" t="s">
        <v>3170</v>
      </c>
      <c r="F4458" s="113">
        <f>'update Rate'!F72</f>
        <v>521.86</v>
      </c>
      <c r="G4458" s="113">
        <f t="shared" si="84"/>
        <v>16459.46</v>
      </c>
      <c r="H4458" s="9"/>
    </row>
    <row r="4459" spans="1:8" ht="17.25">
      <c r="B4459" s="1095"/>
      <c r="C4459" s="63" t="s">
        <v>2969</v>
      </c>
      <c r="D4459" s="44">
        <v>31.54</v>
      </c>
      <c r="E4459" s="55" t="s">
        <v>3170</v>
      </c>
      <c r="F4459" s="113">
        <f>'update Rate'!F81</f>
        <v>306.66000000000003</v>
      </c>
      <c r="G4459" s="113">
        <f t="shared" si="84"/>
        <v>9672.0500000000011</v>
      </c>
      <c r="H4459" s="9"/>
    </row>
    <row r="4460" spans="1:8" ht="17.25">
      <c r="B4460" s="1095"/>
      <c r="C4460" s="63" t="s">
        <v>3473</v>
      </c>
      <c r="D4460" s="211">
        <v>1</v>
      </c>
      <c r="E4460" s="55" t="s">
        <v>2970</v>
      </c>
      <c r="F4460" s="113">
        <f>'update Rate'!F146</f>
        <v>220</v>
      </c>
      <c r="G4460" s="113">
        <f t="shared" si="84"/>
        <v>220</v>
      </c>
      <c r="H4460" s="9"/>
    </row>
    <row r="4461" spans="1:8" ht="17.25">
      <c r="B4461" s="1095"/>
      <c r="C4461" s="55" t="s">
        <v>1222</v>
      </c>
      <c r="D4461" s="211">
        <v>149.6</v>
      </c>
      <c r="E4461" s="55" t="s">
        <v>655</v>
      </c>
      <c r="F4461" s="113">
        <f>'update Rate'!F133</f>
        <v>39.36</v>
      </c>
      <c r="G4461" s="113">
        <f t="shared" si="84"/>
        <v>5888.25</v>
      </c>
      <c r="H4461" s="88"/>
    </row>
    <row r="4462" spans="1:8" ht="17.25">
      <c r="B4462" s="1070"/>
      <c r="C4462" s="58" t="s">
        <v>2272</v>
      </c>
      <c r="D4462" s="49">
        <v>3</v>
      </c>
      <c r="E4462" s="58" t="s">
        <v>656</v>
      </c>
      <c r="F4462" s="65">
        <f>'update Rate'!F530</f>
        <v>40</v>
      </c>
      <c r="G4462" s="65">
        <f t="shared" si="84"/>
        <v>120</v>
      </c>
      <c r="H4462" s="127">
        <f>SUM(G4457:G4462)</f>
        <v>92386.76</v>
      </c>
    </row>
    <row r="4463" spans="1:8" ht="15" customHeight="1">
      <c r="F4463" s="42" t="s">
        <v>1708</v>
      </c>
      <c r="G4463" s="42"/>
      <c r="H4463" s="65">
        <f>SUM(H4456:H4462)</f>
        <v>94783.01</v>
      </c>
    </row>
    <row r="4464" spans="1:8" ht="15.75">
      <c r="B4464" s="1" t="s">
        <v>1710</v>
      </c>
      <c r="F4464" s="42" t="s">
        <v>1689</v>
      </c>
      <c r="G4464" s="42"/>
      <c r="H4464" s="103">
        <f>FLOOR(H4463*0.15,0.01)</f>
        <v>14217.45</v>
      </c>
    </row>
    <row r="4465" spans="1:8" ht="15.75">
      <c r="A4465"/>
      <c r="B4465" s="147">
        <f>+H4465</f>
        <v>109000.45999999999</v>
      </c>
      <c r="C4465" s="28" t="s">
        <v>3384</v>
      </c>
      <c r="D4465" s="103">
        <f>B4465/B4466</f>
        <v>3063.5317594154017</v>
      </c>
      <c r="E4465" s="1" t="s">
        <v>3385</v>
      </c>
      <c r="F4465" s="42" t="s">
        <v>1711</v>
      </c>
      <c r="G4465" s="42"/>
      <c r="H4465" s="103">
        <f>SUM(H4463:H4464)</f>
        <v>109000.45999999999</v>
      </c>
    </row>
    <row r="4466" spans="1:8" ht="17.25">
      <c r="A4466"/>
      <c r="B4466" s="149">
        <v>35.58</v>
      </c>
      <c r="C4466" s="28"/>
      <c r="D4466" s="151"/>
      <c r="F4466" s="42"/>
      <c r="G4466" s="42"/>
      <c r="H4466" s="151"/>
    </row>
    <row r="4467" spans="1:8" ht="42" customHeight="1">
      <c r="A4467" s="28"/>
      <c r="B4467" s="151"/>
      <c r="F4467" s="42"/>
      <c r="G4467" s="106"/>
      <c r="H4467" s="151"/>
    </row>
    <row r="4468" spans="1:8" ht="18" customHeight="1">
      <c r="A4468" s="32"/>
      <c r="B4468" s="1077" t="s">
        <v>3301</v>
      </c>
      <c r="C4468" s="1089"/>
      <c r="D4468" s="1089"/>
      <c r="E4468" s="1089"/>
      <c r="F4468" s="1089"/>
      <c r="G4468" s="1089"/>
      <c r="H4468" s="1089"/>
    </row>
    <row r="4469" spans="1:8" ht="19.5">
      <c r="A4469" s="282">
        <f>A4451+1</f>
        <v>290</v>
      </c>
      <c r="B4469" s="1089" t="s">
        <v>1208</v>
      </c>
      <c r="C4469" s="1089"/>
      <c r="D4469" s="1089"/>
      <c r="E4469" s="1089"/>
      <c r="F4469" s="1089"/>
      <c r="G4469" s="1089"/>
      <c r="H4469" s="1089"/>
    </row>
    <row r="4470" spans="1:8" ht="16.5" customHeight="1">
      <c r="A4470" s="15" t="s">
        <v>616</v>
      </c>
      <c r="B4470" s="1089" t="s">
        <v>2968</v>
      </c>
      <c r="C4470" s="1089"/>
      <c r="D4470" s="1089"/>
      <c r="E4470" s="1089"/>
      <c r="F4470" s="1089"/>
      <c r="G4470" s="1089"/>
      <c r="H4470" s="1089"/>
    </row>
    <row r="4471" spans="1:8" ht="28.5" customHeight="1">
      <c r="A4471" s="1019" t="s">
        <v>4510</v>
      </c>
      <c r="B4471" s="1092" t="s">
        <v>126</v>
      </c>
      <c r="C4471" s="1092"/>
      <c r="D4471" s="1092"/>
      <c r="E4471" s="1092"/>
      <c r="F4471" s="1092"/>
      <c r="G4471" s="1092"/>
      <c r="H4471" s="1092"/>
    </row>
    <row r="4472" spans="1:8" ht="31.5">
      <c r="B4472" s="70" t="s">
        <v>3340</v>
      </c>
      <c r="C4472" s="70" t="s">
        <v>3341</v>
      </c>
      <c r="D4472" s="70" t="s">
        <v>3342</v>
      </c>
      <c r="E4472" s="70" t="s">
        <v>3343</v>
      </c>
      <c r="F4472" s="70" t="s">
        <v>3344</v>
      </c>
      <c r="G4472" s="70" t="s">
        <v>3345</v>
      </c>
      <c r="H4472" s="70" t="s">
        <v>1704</v>
      </c>
    </row>
    <row r="4473" spans="1:8" ht="15" customHeight="1">
      <c r="B4473" s="12" t="s">
        <v>1705</v>
      </c>
      <c r="C4473" s="60" t="s">
        <v>610</v>
      </c>
      <c r="D4473" s="43">
        <v>6.39</v>
      </c>
      <c r="E4473" s="57" t="s">
        <v>1707</v>
      </c>
      <c r="F4473" s="111">
        <f>mason</f>
        <v>525</v>
      </c>
      <c r="G4473" s="111">
        <f t="shared" ref="G4473:G4480" si="85">FLOOR(D4473*F4473,0.01)</f>
        <v>3354.75</v>
      </c>
      <c r="H4473" s="112"/>
    </row>
    <row r="4474" spans="1:8" ht="17.25">
      <c r="B4474" s="15"/>
      <c r="C4474" s="58" t="s">
        <v>1647</v>
      </c>
      <c r="D4474" s="51">
        <v>0.63900000000000001</v>
      </c>
      <c r="E4474" s="58" t="s">
        <v>1707</v>
      </c>
      <c r="F4474" s="65">
        <f>'update Rate'!F4</f>
        <v>375</v>
      </c>
      <c r="G4474" s="65">
        <f t="shared" si="85"/>
        <v>239.62</v>
      </c>
      <c r="H4474" s="125">
        <f>SUM(G4473:G4474)</f>
        <v>3594.37</v>
      </c>
    </row>
    <row r="4475" spans="1:8" ht="17.25">
      <c r="B4475" s="1094" t="s">
        <v>2330</v>
      </c>
      <c r="C4475" s="294" t="s">
        <v>2178</v>
      </c>
      <c r="D4475" s="54">
        <v>0.5</v>
      </c>
      <c r="E4475" s="55" t="s">
        <v>2530</v>
      </c>
      <c r="F4475" s="113">
        <f>awood</f>
        <v>120054</v>
      </c>
      <c r="G4475" s="113">
        <f t="shared" si="85"/>
        <v>60027</v>
      </c>
      <c r="H4475" s="86"/>
    </row>
    <row r="4476" spans="1:8" ht="18" customHeight="1">
      <c r="B4476" s="1095"/>
      <c r="C4476" s="63" t="s">
        <v>3240</v>
      </c>
      <c r="D4476" s="44">
        <v>31.54</v>
      </c>
      <c r="E4476" s="55" t="s">
        <v>3170</v>
      </c>
      <c r="F4476" s="113">
        <f>'update Rate'!F72</f>
        <v>521.86</v>
      </c>
      <c r="G4476" s="113">
        <f t="shared" si="85"/>
        <v>16459.46</v>
      </c>
      <c r="H4476" s="9"/>
    </row>
    <row r="4477" spans="1:8" ht="17.25">
      <c r="B4477" s="1095"/>
      <c r="C4477" s="63" t="s">
        <v>2969</v>
      </c>
      <c r="D4477" s="44">
        <v>63.08</v>
      </c>
      <c r="E4477" s="55" t="s">
        <v>3170</v>
      </c>
      <c r="F4477" s="113">
        <f>'update Rate'!F81</f>
        <v>306.66000000000003</v>
      </c>
      <c r="G4477" s="113">
        <f t="shared" si="85"/>
        <v>19344.11</v>
      </c>
      <c r="H4477" s="9"/>
    </row>
    <row r="4478" spans="1:8" ht="16.5" customHeight="1">
      <c r="B4478" s="1095"/>
      <c r="C4478" s="63" t="s">
        <v>3473</v>
      </c>
      <c r="D4478" s="211">
        <v>2</v>
      </c>
      <c r="E4478" s="55" t="s">
        <v>2970</v>
      </c>
      <c r="F4478" s="113">
        <f>'update Rate'!F146</f>
        <v>220</v>
      </c>
      <c r="G4478" s="113">
        <f t="shared" si="85"/>
        <v>440</v>
      </c>
      <c r="H4478" s="9"/>
    </row>
    <row r="4479" spans="1:8" ht="17.25">
      <c r="B4479" s="1095"/>
      <c r="C4479" s="55" t="s">
        <v>1222</v>
      </c>
      <c r="D4479" s="211">
        <v>149.6</v>
      </c>
      <c r="E4479" s="55" t="s">
        <v>655</v>
      </c>
      <c r="F4479" s="113">
        <f>'update Rate'!F133</f>
        <v>39.36</v>
      </c>
      <c r="G4479" s="113">
        <f t="shared" si="85"/>
        <v>5888.25</v>
      </c>
      <c r="H4479" s="88"/>
    </row>
    <row r="4480" spans="1:8" ht="17.25">
      <c r="B4480" s="1070"/>
      <c r="C4480" s="58" t="s">
        <v>2272</v>
      </c>
      <c r="D4480" s="49">
        <v>3</v>
      </c>
      <c r="E4480" s="58" t="s">
        <v>656</v>
      </c>
      <c r="F4480" s="65">
        <f>kila</f>
        <v>40</v>
      </c>
      <c r="G4480" s="65">
        <f t="shared" si="85"/>
        <v>120</v>
      </c>
      <c r="H4480" s="127">
        <f>SUM(G4475:G4480)</f>
        <v>102278.81999999999</v>
      </c>
    </row>
    <row r="4481" spans="1:8" ht="15" customHeight="1">
      <c r="F4481" s="42" t="s">
        <v>1708</v>
      </c>
      <c r="G4481" s="42"/>
      <c r="H4481" s="65">
        <f>SUM(H4474:H4480)</f>
        <v>105873.18999999999</v>
      </c>
    </row>
    <row r="4482" spans="1:8" ht="18" customHeight="1">
      <c r="B4482" s="1" t="s">
        <v>1710</v>
      </c>
      <c r="F4482" s="42" t="s">
        <v>1689</v>
      </c>
      <c r="G4482" s="42"/>
      <c r="H4482" s="103">
        <f>FLOOR(H4481*0.15,0.01)</f>
        <v>15880.970000000001</v>
      </c>
    </row>
    <row r="4483" spans="1:8" ht="15.75">
      <c r="A4483"/>
      <c r="B4483" s="147">
        <f>+H4483</f>
        <v>121754.15999999999</v>
      </c>
      <c r="C4483" s="28" t="s">
        <v>3384</v>
      </c>
      <c r="D4483" s="103">
        <f>B4483/B4484</f>
        <v>3421.9831365935916</v>
      </c>
      <c r="E4483" s="1" t="s">
        <v>3385</v>
      </c>
      <c r="F4483" s="42" t="s">
        <v>1711</v>
      </c>
      <c r="G4483" s="42"/>
      <c r="H4483" s="103">
        <f>SUM(H4481:H4482)</f>
        <v>121754.15999999999</v>
      </c>
    </row>
    <row r="4484" spans="1:8" ht="17.25">
      <c r="A4484"/>
      <c r="B4484" s="149">
        <v>35.58</v>
      </c>
      <c r="C4484" s="28"/>
      <c r="D4484" s="151"/>
      <c r="F4484" s="42"/>
      <c r="G4484" s="42"/>
      <c r="H4484" s="151"/>
    </row>
    <row r="4485" spans="1:8">
      <c r="B4485" s="1081"/>
      <c r="C4485" s="1110"/>
      <c r="D4485" s="1110"/>
      <c r="E4485" s="1110"/>
      <c r="F4485" s="1110"/>
      <c r="G4485" s="1110"/>
      <c r="H4485" s="1110"/>
    </row>
    <row r="4486" spans="1:8">
      <c r="A4486" s="282">
        <f>A4469+1</f>
        <v>291</v>
      </c>
      <c r="B4486" s="1081"/>
      <c r="C4486" s="1112"/>
      <c r="D4486" s="1112"/>
      <c r="E4486" s="1112"/>
      <c r="F4486" s="1112"/>
      <c r="G4486" s="1112"/>
      <c r="H4486" s="1112"/>
    </row>
    <row r="4487" spans="1:8" ht="19.5">
      <c r="A4487" s="1019" t="s">
        <v>4511</v>
      </c>
      <c r="B4487" s="1077" t="s">
        <v>3997</v>
      </c>
      <c r="C4487" s="1089"/>
      <c r="D4487" s="1089"/>
      <c r="E4487" s="1089"/>
      <c r="F4487" s="1089"/>
      <c r="G4487" s="1089"/>
      <c r="H4487" s="1089"/>
    </row>
    <row r="4488" spans="1:8" ht="19.5">
      <c r="A4488" s="25"/>
      <c r="B4488" s="1077" t="s">
        <v>4001</v>
      </c>
      <c r="C4488" s="1089"/>
      <c r="D4488" s="1089"/>
      <c r="E4488" s="1089"/>
      <c r="F4488" s="1089"/>
      <c r="G4488" s="1089"/>
      <c r="H4488" s="1089"/>
    </row>
    <row r="4489" spans="1:8">
      <c r="B4489" s="1083" t="s">
        <v>4006</v>
      </c>
      <c r="C4489" s="1083"/>
      <c r="D4489" s="1083"/>
      <c r="E4489" s="1083"/>
      <c r="F4489" s="1083"/>
      <c r="G4489" s="1083"/>
      <c r="H4489" s="1083"/>
    </row>
    <row r="4490" spans="1:8" ht="31.5">
      <c r="B4490" s="70" t="s">
        <v>3340</v>
      </c>
      <c r="C4490" s="70" t="s">
        <v>3341</v>
      </c>
      <c r="D4490" s="70" t="s">
        <v>3342</v>
      </c>
      <c r="E4490" s="70" t="s">
        <v>3343</v>
      </c>
      <c r="F4490" s="70" t="s">
        <v>3344</v>
      </c>
      <c r="G4490" s="70" t="s">
        <v>3345</v>
      </c>
      <c r="H4490" s="70" t="s">
        <v>1704</v>
      </c>
    </row>
    <row r="4491" spans="1:8" ht="15.75">
      <c r="B4491" s="822" t="s">
        <v>2330</v>
      </c>
      <c r="C4491" s="822" t="s">
        <v>3999</v>
      </c>
      <c r="D4491" s="8"/>
      <c r="E4491" s="8"/>
      <c r="F4491" s="111"/>
      <c r="G4491" s="111"/>
      <c r="H4491" s="828"/>
    </row>
    <row r="4492" spans="1:8" ht="17.25">
      <c r="B4492" s="84" t="s">
        <v>424</v>
      </c>
      <c r="C4492" s="824" t="s">
        <v>4000</v>
      </c>
      <c r="D4492" s="45">
        <v>1</v>
      </c>
      <c r="E4492" s="58" t="s">
        <v>3170</v>
      </c>
      <c r="F4492" s="126">
        <f>'update Rate'!F212</f>
        <v>1022.2</v>
      </c>
      <c r="G4492" s="65">
        <f>SUM(D4492*F4492)</f>
        <v>1022.2</v>
      </c>
      <c r="H4492" s="829">
        <f>SUM(G4492)</f>
        <v>1022.2</v>
      </c>
    </row>
    <row r="4493" spans="1:8" ht="30" customHeight="1">
      <c r="F4493" s="42" t="s">
        <v>1708</v>
      </c>
      <c r="G4493" s="106"/>
      <c r="H4493" s="65">
        <f>SUM(H4490:H4492)</f>
        <v>1022.2</v>
      </c>
    </row>
    <row r="4494" spans="1:8" ht="16.5">
      <c r="B4494" s="1" t="s">
        <v>426</v>
      </c>
      <c r="F4494" s="42" t="s">
        <v>1688</v>
      </c>
      <c r="G4494" s="106"/>
      <c r="H4494" s="65">
        <f>FLOOR(H4493*0.15,0.01)</f>
        <v>153.33000000000001</v>
      </c>
    </row>
    <row r="4495" spans="1:8" ht="16.5">
      <c r="A4495" s="28" t="s">
        <v>3384</v>
      </c>
      <c r="B4495" s="103">
        <f>+H4495</f>
        <v>1175.53</v>
      </c>
      <c r="C4495" s="1" t="s">
        <v>3385</v>
      </c>
      <c r="F4495" s="42" t="s">
        <v>1711</v>
      </c>
      <c r="G4495" s="106"/>
      <c r="H4495" s="103">
        <f>SUM(H4493:H4494)</f>
        <v>1175.53</v>
      </c>
    </row>
    <row r="4496" spans="1:8" ht="16.5">
      <c r="A4496" s="28"/>
      <c r="B4496" s="151"/>
      <c r="F4496" s="42"/>
      <c r="G4496" s="106"/>
      <c r="H4496" s="151"/>
    </row>
    <row r="4497" spans="1:8" ht="16.5">
      <c r="A4497" s="28"/>
      <c r="B4497" s="151"/>
      <c r="F4497" s="42"/>
      <c r="G4497" s="106"/>
      <c r="H4497" s="151"/>
    </row>
    <row r="4498" spans="1:8" ht="20.25">
      <c r="B4498" s="149"/>
      <c r="F4498" s="823"/>
      <c r="G4498" s="823"/>
      <c r="H4498" s="823"/>
    </row>
    <row r="4499" spans="1:8" ht="18" customHeight="1">
      <c r="A4499" s="282">
        <f>A4486+1</f>
        <v>292</v>
      </c>
      <c r="B4499" s="1081"/>
      <c r="C4499" s="1112"/>
      <c r="D4499" s="1112"/>
      <c r="E4499" s="1112"/>
      <c r="F4499" s="1112"/>
      <c r="G4499" s="1112"/>
      <c r="H4499" s="1112"/>
    </row>
    <row r="4500" spans="1:8" ht="19.5">
      <c r="A4500" s="1019" t="s">
        <v>4513</v>
      </c>
      <c r="B4500" s="1077" t="s">
        <v>3997</v>
      </c>
      <c r="C4500" s="1089"/>
      <c r="D4500" s="1089"/>
      <c r="E4500" s="1089"/>
      <c r="F4500" s="1089"/>
      <c r="G4500" s="1089"/>
      <c r="H4500" s="1089"/>
    </row>
    <row r="4501" spans="1:8" ht="16.5" customHeight="1">
      <c r="A4501" s="25"/>
      <c r="B4501" s="1077" t="s">
        <v>4002</v>
      </c>
      <c r="C4501" s="1089"/>
      <c r="D4501" s="1089"/>
      <c r="E4501" s="1089"/>
      <c r="F4501" s="1089"/>
      <c r="G4501" s="1089"/>
      <c r="H4501" s="1089"/>
    </row>
    <row r="4502" spans="1:8" ht="30" customHeight="1">
      <c r="B4502" s="1083" t="s">
        <v>1604</v>
      </c>
      <c r="C4502" s="1083"/>
      <c r="D4502" s="1083"/>
      <c r="E4502" s="1083"/>
      <c r="F4502" s="1083"/>
      <c r="G4502" s="1083"/>
      <c r="H4502" s="1083"/>
    </row>
    <row r="4503" spans="1:8" ht="31.5">
      <c r="B4503" s="70" t="s">
        <v>3340</v>
      </c>
      <c r="C4503" s="70" t="s">
        <v>3341</v>
      </c>
      <c r="D4503" s="70" t="s">
        <v>3342</v>
      </c>
      <c r="E4503" s="70" t="s">
        <v>3343</v>
      </c>
      <c r="F4503" s="70" t="s">
        <v>3344</v>
      </c>
      <c r="G4503" s="70" t="s">
        <v>3345</v>
      </c>
      <c r="H4503" s="70" t="s">
        <v>1704</v>
      </c>
    </row>
    <row r="4504" spans="1:8" ht="15" customHeight="1">
      <c r="B4504" s="822" t="s">
        <v>2330</v>
      </c>
      <c r="C4504" s="822" t="s">
        <v>4003</v>
      </c>
      <c r="D4504" s="8"/>
      <c r="E4504" s="8"/>
      <c r="F4504" s="111"/>
      <c r="G4504" s="111"/>
      <c r="H4504" s="828"/>
    </row>
    <row r="4505" spans="1:8" ht="18" customHeight="1">
      <c r="B4505" s="84" t="s">
        <v>424</v>
      </c>
      <c r="C4505" s="824" t="s">
        <v>4000</v>
      </c>
      <c r="D4505" s="45">
        <v>1</v>
      </c>
      <c r="E4505" s="58" t="s">
        <v>3170</v>
      </c>
      <c r="F4505" s="126">
        <f>'update Rate'!F211</f>
        <v>699.4</v>
      </c>
      <c r="G4505" s="65">
        <f>SUM(D4505*F4505)</f>
        <v>699.4</v>
      </c>
      <c r="H4505" s="829">
        <f>SUM(G4505)</f>
        <v>699.4</v>
      </c>
    </row>
    <row r="4506" spans="1:8" ht="16.5">
      <c r="F4506" s="42" t="s">
        <v>1708</v>
      </c>
      <c r="G4506" s="106"/>
      <c r="H4506" s="65">
        <f>SUM(H4503:H4505)</f>
        <v>699.4</v>
      </c>
    </row>
    <row r="4507" spans="1:8" ht="16.5">
      <c r="B4507" s="1" t="s">
        <v>426</v>
      </c>
      <c r="F4507" s="42" t="s">
        <v>1688</v>
      </c>
      <c r="G4507" s="106"/>
      <c r="H4507" s="65">
        <f>FLOOR(H4506*0.15,0.01)</f>
        <v>104.91</v>
      </c>
    </row>
    <row r="4508" spans="1:8" ht="16.5">
      <c r="A4508" s="28" t="s">
        <v>3384</v>
      </c>
      <c r="B4508" s="103">
        <f>+H4508</f>
        <v>804.31</v>
      </c>
      <c r="C4508" s="1" t="s">
        <v>3385</v>
      </c>
      <c r="F4508" s="42" t="s">
        <v>1711</v>
      </c>
      <c r="G4508" s="106"/>
      <c r="H4508" s="103">
        <f>SUM(H4506:H4507)</f>
        <v>804.31</v>
      </c>
    </row>
    <row r="4509" spans="1:8" ht="18" customHeight="1">
      <c r="B4509" s="149"/>
      <c r="F4509" s="823"/>
      <c r="G4509" s="823"/>
      <c r="H4509" s="823"/>
    </row>
    <row r="4510" spans="1:8" ht="18" customHeight="1">
      <c r="B4510" s="149"/>
      <c r="F4510" s="823"/>
      <c r="G4510" s="823"/>
      <c r="H4510" s="823"/>
    </row>
    <row r="4511" spans="1:8" ht="18" customHeight="1">
      <c r="A4511" s="282">
        <f>A4499+1</f>
        <v>293</v>
      </c>
      <c r="B4511" s="1081"/>
      <c r="C4511" s="1112"/>
      <c r="D4511" s="1112"/>
      <c r="E4511" s="1112"/>
      <c r="F4511" s="1112"/>
      <c r="G4511" s="1112"/>
      <c r="H4511" s="1112"/>
    </row>
    <row r="4512" spans="1:8" ht="18" customHeight="1">
      <c r="A4512" s="1019" t="s">
        <v>4512</v>
      </c>
      <c r="B4512" s="1077" t="s">
        <v>4004</v>
      </c>
      <c r="C4512" s="1089"/>
      <c r="D4512" s="1089"/>
      <c r="E4512" s="1089"/>
      <c r="F4512" s="1089"/>
      <c r="G4512" s="1089"/>
      <c r="H4512" s="1089"/>
    </row>
    <row r="4513" spans="1:8" ht="19.5">
      <c r="A4513" s="25"/>
      <c r="B4513" s="1077" t="s">
        <v>4005</v>
      </c>
      <c r="C4513" s="1089"/>
      <c r="D4513" s="1089"/>
      <c r="E4513" s="1089"/>
      <c r="F4513" s="1089"/>
      <c r="G4513" s="1089"/>
      <c r="H4513" s="1089"/>
    </row>
    <row r="4514" spans="1:8">
      <c r="B4514" s="1083" t="s">
        <v>1604</v>
      </c>
      <c r="C4514" s="1083"/>
      <c r="D4514" s="1083"/>
      <c r="E4514" s="1083"/>
      <c r="F4514" s="1083"/>
      <c r="G4514" s="1083"/>
      <c r="H4514" s="1083"/>
    </row>
    <row r="4515" spans="1:8" ht="31.5">
      <c r="B4515" s="70" t="s">
        <v>3340</v>
      </c>
      <c r="C4515" s="70" t="s">
        <v>3341</v>
      </c>
      <c r="D4515" s="70" t="s">
        <v>3342</v>
      </c>
      <c r="E4515" s="70" t="s">
        <v>3343</v>
      </c>
      <c r="F4515" s="70" t="s">
        <v>3344</v>
      </c>
      <c r="G4515" s="70" t="s">
        <v>3345</v>
      </c>
      <c r="H4515" s="70" t="s">
        <v>1704</v>
      </c>
    </row>
    <row r="4516" spans="1:8" ht="15.75">
      <c r="B4516" s="822" t="s">
        <v>2330</v>
      </c>
      <c r="C4516" s="822" t="s">
        <v>4007</v>
      </c>
      <c r="D4516" s="8"/>
      <c r="E4516" s="8"/>
      <c r="F4516" s="111"/>
      <c r="G4516" s="111"/>
      <c r="H4516" s="828"/>
    </row>
    <row r="4517" spans="1:8" ht="15" customHeight="1">
      <c r="B4517" s="84" t="s">
        <v>424</v>
      </c>
      <c r="C4517" s="824" t="s">
        <v>4000</v>
      </c>
      <c r="D4517" s="45">
        <v>1</v>
      </c>
      <c r="E4517" s="58" t="s">
        <v>3170</v>
      </c>
      <c r="F4517" s="126">
        <f>'update Rate'!F214</f>
        <v>1054.48</v>
      </c>
      <c r="G4517" s="65">
        <f>SUM(D4517*F4517)</f>
        <v>1054.48</v>
      </c>
      <c r="H4517" s="829">
        <f>SUM(G4517)</f>
        <v>1054.48</v>
      </c>
    </row>
    <row r="4518" spans="1:8" ht="16.5">
      <c r="F4518" s="42" t="s">
        <v>1708</v>
      </c>
      <c r="G4518" s="106"/>
      <c r="H4518" s="65">
        <f>SUM(H4515:H4517)</f>
        <v>1054.48</v>
      </c>
    </row>
    <row r="4519" spans="1:8" ht="16.5">
      <c r="B4519" s="1" t="s">
        <v>426</v>
      </c>
      <c r="F4519" s="42" t="s">
        <v>1688</v>
      </c>
      <c r="G4519" s="106"/>
      <c r="H4519" s="65">
        <f>FLOOR(H4518*0.15,0.01)</f>
        <v>158.17000000000002</v>
      </c>
    </row>
    <row r="4520" spans="1:8" ht="16.5">
      <c r="A4520" s="28" t="s">
        <v>3384</v>
      </c>
      <c r="B4520" s="103">
        <f>+H4520</f>
        <v>1212.6500000000001</v>
      </c>
      <c r="C4520" s="1" t="s">
        <v>3385</v>
      </c>
      <c r="F4520" s="42" t="s">
        <v>1711</v>
      </c>
      <c r="G4520" s="106"/>
      <c r="H4520" s="103">
        <f>SUM(H4518:H4519)</f>
        <v>1212.6500000000001</v>
      </c>
    </row>
    <row r="4521" spans="1:8" ht="18.75" customHeight="1">
      <c r="B4521" s="149"/>
      <c r="F4521" s="823"/>
      <c r="G4521" s="823"/>
      <c r="H4521" s="823"/>
    </row>
    <row r="4522" spans="1:8" ht="18" customHeight="1">
      <c r="A4522" s="282">
        <f>A4511+1</f>
        <v>294</v>
      </c>
      <c r="B4522" s="1081"/>
      <c r="C4522" s="1112"/>
      <c r="D4522" s="1112"/>
      <c r="E4522" s="1112"/>
      <c r="F4522" s="1112"/>
      <c r="G4522" s="1112"/>
      <c r="H4522" s="1112"/>
    </row>
    <row r="4523" spans="1:8" ht="19.5">
      <c r="A4523" s="1019" t="s">
        <v>4512</v>
      </c>
      <c r="B4523" s="1077" t="s">
        <v>4009</v>
      </c>
      <c r="C4523" s="1089"/>
      <c r="D4523" s="1089"/>
      <c r="E4523" s="1089"/>
      <c r="F4523" s="1089"/>
      <c r="G4523" s="1089"/>
      <c r="H4523" s="1089"/>
    </row>
    <row r="4524" spans="1:8" ht="19.5">
      <c r="A4524" s="25"/>
      <c r="B4524" s="1077" t="s">
        <v>4005</v>
      </c>
      <c r="C4524" s="1089"/>
      <c r="D4524" s="1089"/>
      <c r="E4524" s="1089"/>
      <c r="F4524" s="1089"/>
      <c r="G4524" s="1089"/>
      <c r="H4524" s="1089"/>
    </row>
    <row r="4525" spans="1:8" ht="21.75" customHeight="1">
      <c r="B4525" s="1083" t="s">
        <v>3998</v>
      </c>
      <c r="C4525" s="1083"/>
      <c r="D4525" s="1083"/>
      <c r="E4525" s="1083"/>
      <c r="F4525" s="1083"/>
      <c r="G4525" s="1083"/>
      <c r="H4525" s="1083"/>
    </row>
    <row r="4526" spans="1:8" ht="31.5">
      <c r="B4526" s="70" t="s">
        <v>3340</v>
      </c>
      <c r="C4526" s="70" t="s">
        <v>3341</v>
      </c>
      <c r="D4526" s="70" t="s">
        <v>3342</v>
      </c>
      <c r="E4526" s="70" t="s">
        <v>3343</v>
      </c>
      <c r="F4526" s="70" t="s">
        <v>3344</v>
      </c>
      <c r="G4526" s="70" t="s">
        <v>3345</v>
      </c>
      <c r="H4526" s="70" t="s">
        <v>1704</v>
      </c>
    </row>
    <row r="4527" spans="1:8" ht="15" customHeight="1">
      <c r="B4527" s="822" t="s">
        <v>2330</v>
      </c>
      <c r="C4527" s="822" t="s">
        <v>4008</v>
      </c>
      <c r="D4527" s="8"/>
      <c r="E4527" s="8"/>
      <c r="F4527" s="111"/>
      <c r="G4527" s="111"/>
      <c r="H4527" s="828"/>
    </row>
    <row r="4528" spans="1:8" ht="17.25">
      <c r="B4528" s="84" t="s">
        <v>424</v>
      </c>
      <c r="C4528" s="824" t="s">
        <v>4000</v>
      </c>
      <c r="D4528" s="45">
        <v>1</v>
      </c>
      <c r="E4528" s="58" t="s">
        <v>3170</v>
      </c>
      <c r="F4528" s="126">
        <f>'update Rate'!F213</f>
        <v>925.36</v>
      </c>
      <c r="G4528" s="65">
        <f>SUM(D4528*F4528)</f>
        <v>925.36</v>
      </c>
      <c r="H4528" s="829">
        <f>SUM(G4528)</f>
        <v>925.36</v>
      </c>
    </row>
    <row r="4529" spans="1:8" ht="16.5">
      <c r="F4529" s="42" t="s">
        <v>1708</v>
      </c>
      <c r="G4529" s="106"/>
      <c r="H4529" s="65">
        <f>SUM(H4526:H4528)</f>
        <v>925.36</v>
      </c>
    </row>
    <row r="4530" spans="1:8" ht="16.5">
      <c r="B4530" s="1" t="s">
        <v>426</v>
      </c>
      <c r="F4530" s="42" t="s">
        <v>1688</v>
      </c>
      <c r="G4530" s="106"/>
      <c r="H4530" s="65">
        <f>FLOOR(H4529*0.15,0.01)</f>
        <v>138.80000000000001</v>
      </c>
    </row>
    <row r="4531" spans="1:8" ht="16.5">
      <c r="A4531" s="28" t="s">
        <v>3384</v>
      </c>
      <c r="B4531" s="103">
        <f>+H4531</f>
        <v>1064.1600000000001</v>
      </c>
      <c r="C4531" s="1" t="s">
        <v>3385</v>
      </c>
      <c r="F4531" s="42" t="s">
        <v>1711</v>
      </c>
      <c r="G4531" s="106"/>
      <c r="H4531" s="103">
        <f>SUM(H4529:H4530)</f>
        <v>1064.1600000000001</v>
      </c>
    </row>
    <row r="4532" spans="1:8" ht="20.25">
      <c r="B4532" s="149"/>
      <c r="F4532" s="823"/>
      <c r="G4532" s="823"/>
      <c r="H4532" s="823"/>
    </row>
    <row r="4533" spans="1:8">
      <c r="A4533" s="282">
        <f>A4522+1</f>
        <v>295</v>
      </c>
      <c r="B4533" s="1081"/>
      <c r="C4533" s="1112"/>
      <c r="D4533" s="1112"/>
      <c r="E4533" s="1112"/>
      <c r="F4533" s="1112"/>
      <c r="G4533" s="1112"/>
      <c r="H4533" s="1112"/>
    </row>
    <row r="4534" spans="1:8" ht="19.5">
      <c r="A4534" s="1019" t="s">
        <v>4514</v>
      </c>
      <c r="B4534" s="1077" t="s">
        <v>4010</v>
      </c>
      <c r="C4534" s="1089"/>
      <c r="D4534" s="1089"/>
      <c r="E4534" s="1089"/>
      <c r="F4534" s="1089"/>
      <c r="G4534" s="1089"/>
      <c r="H4534" s="1089"/>
    </row>
    <row r="4535" spans="1:8" ht="19.5">
      <c r="A4535" s="25"/>
      <c r="B4535" s="1072" t="s">
        <v>4011</v>
      </c>
      <c r="C4535" s="1089"/>
      <c r="D4535" s="1089"/>
      <c r="E4535" s="1089"/>
      <c r="F4535" s="1089"/>
      <c r="G4535" s="1089"/>
      <c r="H4535" s="1089"/>
    </row>
    <row r="4536" spans="1:8">
      <c r="B4536" s="1083" t="s">
        <v>3998</v>
      </c>
      <c r="C4536" s="1083"/>
      <c r="D4536" s="1083"/>
      <c r="E4536" s="1083"/>
      <c r="F4536" s="1083"/>
      <c r="G4536" s="1083"/>
      <c r="H4536" s="1083"/>
    </row>
    <row r="4537" spans="1:8" ht="31.5">
      <c r="B4537" s="70" t="s">
        <v>3340</v>
      </c>
      <c r="C4537" s="70" t="s">
        <v>3341</v>
      </c>
      <c r="D4537" s="70" t="s">
        <v>3342</v>
      </c>
      <c r="E4537" s="70" t="s">
        <v>3343</v>
      </c>
      <c r="F4537" s="70" t="s">
        <v>3344</v>
      </c>
      <c r="G4537" s="70" t="s">
        <v>3345</v>
      </c>
      <c r="H4537" s="70" t="s">
        <v>1704</v>
      </c>
    </row>
    <row r="4538" spans="1:8" ht="15" customHeight="1">
      <c r="B4538" s="822" t="s">
        <v>2330</v>
      </c>
      <c r="C4538" s="822" t="s">
        <v>4012</v>
      </c>
      <c r="D4538" s="8"/>
      <c r="E4538" s="8"/>
      <c r="F4538" s="111"/>
      <c r="G4538" s="111"/>
      <c r="H4538" s="828"/>
    </row>
    <row r="4539" spans="1:8" ht="18" customHeight="1">
      <c r="B4539" s="84" t="s">
        <v>424</v>
      </c>
      <c r="C4539" s="824" t="s">
        <v>4000</v>
      </c>
      <c r="D4539" s="45">
        <v>1</v>
      </c>
      <c r="E4539" s="58" t="s">
        <v>3170</v>
      </c>
      <c r="F4539" s="126">
        <f>'update Rate'!F341</f>
        <v>344.32</v>
      </c>
      <c r="G4539" s="65">
        <f>SUM(D4539*F4539)</f>
        <v>344.32</v>
      </c>
      <c r="H4539" s="829">
        <f>SUM(G4539)</f>
        <v>344.32</v>
      </c>
    </row>
    <row r="4540" spans="1:8" ht="16.5">
      <c r="F4540" s="42" t="s">
        <v>1708</v>
      </c>
      <c r="G4540" s="106"/>
      <c r="H4540" s="65">
        <f>SUM(H4537:H4539)</f>
        <v>344.32</v>
      </c>
    </row>
    <row r="4541" spans="1:8" ht="16.5">
      <c r="B4541" s="1" t="s">
        <v>426</v>
      </c>
      <c r="F4541" s="42" t="s">
        <v>1688</v>
      </c>
      <c r="G4541" s="106"/>
      <c r="H4541" s="65">
        <f>FLOOR(H4540*0.15,0.01)</f>
        <v>51.64</v>
      </c>
    </row>
    <row r="4542" spans="1:8" ht="16.5">
      <c r="A4542" s="28" t="s">
        <v>3384</v>
      </c>
      <c r="B4542" s="103">
        <f>+H4542</f>
        <v>395.96</v>
      </c>
      <c r="C4542" s="1" t="s">
        <v>3385</v>
      </c>
      <c r="F4542" s="42" t="s">
        <v>1711</v>
      </c>
      <c r="G4542" s="106"/>
      <c r="H4542" s="103">
        <f>SUM(H4540:H4541)</f>
        <v>395.96</v>
      </c>
    </row>
    <row r="4543" spans="1:8" ht="20.25">
      <c r="B4543" s="149"/>
      <c r="F4543" s="823"/>
      <c r="G4543" s="823"/>
      <c r="H4543" s="823"/>
    </row>
    <row r="4544" spans="1:8" ht="16.5" customHeight="1">
      <c r="A4544" s="145">
        <f>A4533+1</f>
        <v>296</v>
      </c>
      <c r="B4544" s="1118" t="s">
        <v>4328</v>
      </c>
      <c r="C4544" s="1082"/>
      <c r="D4544" s="1082"/>
      <c r="E4544" s="1082"/>
      <c r="F4544" s="1082"/>
      <c r="G4544" s="1082"/>
      <c r="H4544" s="1082"/>
    </row>
    <row r="4545" spans="1:8">
      <c r="A4545" s="1019"/>
      <c r="B4545" s="1118"/>
      <c r="C4545" s="1082"/>
      <c r="D4545" s="1082"/>
      <c r="E4545" s="1082"/>
      <c r="F4545" s="1082"/>
      <c r="G4545" s="1082"/>
      <c r="H4545" s="1082"/>
    </row>
    <row r="4546" spans="1:8">
      <c r="B4546" s="1083" t="s">
        <v>1604</v>
      </c>
      <c r="C4546" s="1083"/>
      <c r="D4546" s="1083"/>
      <c r="E4546" s="1083"/>
      <c r="F4546" s="1083"/>
      <c r="G4546" s="1083"/>
      <c r="H4546" s="1083"/>
    </row>
    <row r="4547" spans="1:8" ht="31.5">
      <c r="B4547" s="70" t="s">
        <v>3340</v>
      </c>
      <c r="C4547" s="70" t="s">
        <v>3341</v>
      </c>
      <c r="D4547" s="70" t="s">
        <v>3342</v>
      </c>
      <c r="E4547" s="70" t="s">
        <v>3343</v>
      </c>
      <c r="F4547" s="70" t="s">
        <v>3344</v>
      </c>
      <c r="G4547" s="70" t="s">
        <v>3345</v>
      </c>
      <c r="H4547" s="70" t="s">
        <v>1704</v>
      </c>
    </row>
    <row r="4548" spans="1:8" ht="15.75">
      <c r="B4548" s="60" t="s">
        <v>2330</v>
      </c>
      <c r="C4548" s="60" t="s">
        <v>425</v>
      </c>
      <c r="D4548" s="8"/>
      <c r="E4548" s="8"/>
      <c r="F4548" s="8"/>
      <c r="G4548" s="8"/>
      <c r="H4548" s="8"/>
    </row>
    <row r="4549" spans="1:8" ht="39.75">
      <c r="B4549" s="83" t="s">
        <v>424</v>
      </c>
      <c r="C4549" s="85" t="s">
        <v>4329</v>
      </c>
      <c r="D4549" s="44">
        <v>1</v>
      </c>
      <c r="E4549" s="55" t="s">
        <v>3170</v>
      </c>
      <c r="F4549" s="113">
        <f>'update Rate'!F184</f>
        <v>4734.3999999999996</v>
      </c>
      <c r="G4549" s="113">
        <f>FLOOR(D4549*F4549,0.01)</f>
        <v>4734.4000000000005</v>
      </c>
      <c r="H4549" s="9"/>
    </row>
    <row r="4550" spans="1:8" ht="27.75" customHeight="1">
      <c r="B4550" s="80"/>
      <c r="C4550" s="80" t="s">
        <v>3290</v>
      </c>
      <c r="D4550" s="53"/>
      <c r="E4550" s="58"/>
      <c r="F4550" s="126"/>
      <c r="G4550" s="126"/>
      <c r="H4550" s="127">
        <f>SUM(G4549)</f>
        <v>4734.4000000000005</v>
      </c>
    </row>
    <row r="4551" spans="1:8" ht="16.5">
      <c r="F4551" s="42" t="s">
        <v>1708</v>
      </c>
      <c r="G4551" s="106"/>
      <c r="H4551" s="65">
        <f>SUM(H4547:H4550)</f>
        <v>4734.4000000000005</v>
      </c>
    </row>
    <row r="4552" spans="1:8" ht="16.5">
      <c r="B4552" s="1" t="s">
        <v>426</v>
      </c>
      <c r="F4552" s="42" t="s">
        <v>1688</v>
      </c>
      <c r="G4552" s="106"/>
      <c r="H4552" s="103">
        <f>FLOOR(H4551*0.15,0.01)</f>
        <v>710.16</v>
      </c>
    </row>
    <row r="4553" spans="1:8" ht="16.5">
      <c r="A4553" s="28" t="s">
        <v>3384</v>
      </c>
      <c r="B4553" s="103">
        <f>+H4553</f>
        <v>5444.56</v>
      </c>
      <c r="C4553" s="1" t="s">
        <v>3385</v>
      </c>
      <c r="F4553" s="42" t="s">
        <v>1711</v>
      </c>
      <c r="G4553" s="106"/>
      <c r="H4553" s="103">
        <f>SUM(H4551:H4552)</f>
        <v>5444.56</v>
      </c>
    </row>
    <row r="4555" spans="1:8">
      <c r="A4555" s="145">
        <f>+A4544+1</f>
        <v>297</v>
      </c>
      <c r="B4555" s="1118" t="s">
        <v>4330</v>
      </c>
      <c r="C4555" s="1082"/>
      <c r="D4555" s="1082"/>
      <c r="E4555" s="1082"/>
      <c r="F4555" s="1082"/>
      <c r="G4555" s="1082"/>
      <c r="H4555" s="1082"/>
    </row>
    <row r="4556" spans="1:8">
      <c r="A4556" s="15"/>
      <c r="B4556" s="1118"/>
      <c r="C4556" s="1082"/>
      <c r="D4556" s="1082"/>
      <c r="E4556" s="1082"/>
      <c r="F4556" s="1082"/>
      <c r="G4556" s="1082"/>
      <c r="H4556" s="1082"/>
    </row>
    <row r="4557" spans="1:8">
      <c r="B4557" s="1083" t="s">
        <v>1604</v>
      </c>
      <c r="C4557" s="1083"/>
      <c r="D4557" s="1083"/>
      <c r="E4557" s="1083"/>
      <c r="F4557" s="1083"/>
      <c r="G4557" s="1083"/>
      <c r="H4557" s="1083"/>
    </row>
    <row r="4558" spans="1:8" ht="31.5">
      <c r="B4558" s="70" t="s">
        <v>3340</v>
      </c>
      <c r="C4558" s="70" t="s">
        <v>3341</v>
      </c>
      <c r="D4558" s="70" t="s">
        <v>3342</v>
      </c>
      <c r="E4558" s="70" t="s">
        <v>3343</v>
      </c>
      <c r="F4558" s="70" t="s">
        <v>3344</v>
      </c>
      <c r="G4558" s="70" t="s">
        <v>3345</v>
      </c>
      <c r="H4558" s="70" t="s">
        <v>1704</v>
      </c>
    </row>
    <row r="4559" spans="1:8" ht="17.25">
      <c r="B4559" s="60" t="s">
        <v>2330</v>
      </c>
      <c r="C4559" s="60" t="s">
        <v>425</v>
      </c>
      <c r="D4559" s="43"/>
      <c r="E4559" s="57"/>
      <c r="F4559" s="111"/>
      <c r="G4559" s="111"/>
      <c r="H4559" s="112"/>
    </row>
    <row r="4560" spans="1:8" ht="27" customHeight="1">
      <c r="B4560" s="84" t="s">
        <v>424</v>
      </c>
      <c r="C4560" s="37" t="s">
        <v>4331</v>
      </c>
      <c r="D4560" s="45">
        <v>1</v>
      </c>
      <c r="E4560" s="58" t="s">
        <v>3170</v>
      </c>
      <c r="F4560" s="65">
        <f>'update Rate'!F185</f>
        <v>5089.4799999999996</v>
      </c>
      <c r="G4560" s="65">
        <f>FLOOR(D4560*F4560,0.01)</f>
        <v>5089.4800000000005</v>
      </c>
      <c r="H4560" s="127">
        <f>SUM(G4560)</f>
        <v>5089.4800000000005</v>
      </c>
    </row>
    <row r="4561" spans="1:8" ht="16.5">
      <c r="F4561" s="42" t="s">
        <v>1708</v>
      </c>
      <c r="G4561" s="106"/>
      <c r="H4561" s="65">
        <f>SUM(H4559:H4560)</f>
        <v>5089.4800000000005</v>
      </c>
    </row>
    <row r="4562" spans="1:8" ht="16.5">
      <c r="B4562" s="1" t="s">
        <v>426</v>
      </c>
      <c r="F4562" s="42" t="s">
        <v>1688</v>
      </c>
      <c r="G4562" s="106"/>
      <c r="H4562" s="103">
        <f>FLOOR(H4561*0.15,0.01)</f>
        <v>763.42000000000007</v>
      </c>
    </row>
    <row r="4563" spans="1:8" ht="16.5">
      <c r="A4563" s="28" t="s">
        <v>3384</v>
      </c>
      <c r="B4563" s="103">
        <f>+H4563</f>
        <v>5852.9000000000005</v>
      </c>
      <c r="C4563" s="1" t="s">
        <v>3385</v>
      </c>
      <c r="F4563" s="42" t="s">
        <v>1711</v>
      </c>
      <c r="G4563" s="106"/>
      <c r="H4563" s="103">
        <f>SUM(H4561:H4562)</f>
        <v>5852.9000000000005</v>
      </c>
    </row>
    <row r="4565" spans="1:8">
      <c r="A4565" s="145">
        <f>+A4555+1</f>
        <v>298</v>
      </c>
    </row>
    <row r="4566" spans="1:8">
      <c r="A4566" s="15"/>
      <c r="B4566" s="1082" t="s">
        <v>4355</v>
      </c>
      <c r="C4566" s="1082"/>
      <c r="D4566" s="1082"/>
      <c r="E4566" s="1082"/>
      <c r="F4566" s="1082"/>
      <c r="G4566" s="1082"/>
      <c r="H4566" s="1082"/>
    </row>
    <row r="4567" spans="1:8">
      <c r="A4567" s="25"/>
      <c r="B4567" s="1082"/>
      <c r="C4567" s="1082"/>
      <c r="D4567" s="1082"/>
      <c r="E4567" s="1082"/>
      <c r="F4567" s="1082"/>
      <c r="G4567" s="1082"/>
      <c r="H4567" s="1082"/>
    </row>
    <row r="4568" spans="1:8">
      <c r="B4568" s="1083" t="s">
        <v>1604</v>
      </c>
      <c r="C4568" s="1083"/>
      <c r="D4568" s="1083"/>
      <c r="E4568" s="1083"/>
      <c r="F4568" s="1083"/>
      <c r="G4568" s="1083"/>
      <c r="H4568" s="1083"/>
    </row>
    <row r="4569" spans="1:8" ht="31.5">
      <c r="B4569" s="70" t="s">
        <v>3340</v>
      </c>
      <c r="C4569" s="70" t="s">
        <v>3341</v>
      </c>
      <c r="D4569" s="70" t="s">
        <v>3342</v>
      </c>
      <c r="E4569" s="70" t="s">
        <v>3343</v>
      </c>
      <c r="F4569" s="70" t="s">
        <v>3344</v>
      </c>
      <c r="G4569" s="70" t="s">
        <v>3345</v>
      </c>
      <c r="H4569" s="70" t="s">
        <v>1704</v>
      </c>
    </row>
    <row r="4570" spans="1:8" ht="15.75">
      <c r="B4570" s="60" t="s">
        <v>2330</v>
      </c>
      <c r="C4570" s="60" t="s">
        <v>425</v>
      </c>
      <c r="D4570" s="8"/>
      <c r="E4570" s="8"/>
      <c r="F4570" s="111"/>
      <c r="G4570" s="111"/>
      <c r="H4570" s="112"/>
    </row>
    <row r="4571" spans="1:8" ht="17.25">
      <c r="B4571" s="83" t="s">
        <v>424</v>
      </c>
      <c r="C4571" s="36" t="s">
        <v>4356</v>
      </c>
      <c r="D4571" s="44">
        <v>1</v>
      </c>
      <c r="E4571" s="55" t="s">
        <v>3170</v>
      </c>
      <c r="F4571" s="113">
        <f>'update Rate'!F186</f>
        <v>4971.12</v>
      </c>
      <c r="G4571" s="113">
        <f>FLOOR(D4571*F4571,0.01)</f>
        <v>4971.12</v>
      </c>
      <c r="H4571" s="967">
        <f>SUM(G4571)</f>
        <v>4971.12</v>
      </c>
    </row>
    <row r="4572" spans="1:8" ht="16.5">
      <c r="B4572" s="35"/>
      <c r="C4572" s="80" t="s">
        <v>2777</v>
      </c>
      <c r="D4572" s="53"/>
      <c r="E4572" s="15"/>
      <c r="F4572" s="126"/>
      <c r="G4572" s="126"/>
      <c r="H4572" s="10"/>
    </row>
    <row r="4573" spans="1:8" ht="16.5">
      <c r="F4573" s="42" t="s">
        <v>1708</v>
      </c>
      <c r="G4573" s="106"/>
      <c r="H4573" s="65">
        <f>SUM(H4569:H4571)</f>
        <v>4971.12</v>
      </c>
    </row>
    <row r="4574" spans="1:8" ht="16.5">
      <c r="B4574" s="1" t="s">
        <v>426</v>
      </c>
      <c r="F4574" s="42" t="s">
        <v>1688</v>
      </c>
      <c r="G4574" s="106"/>
      <c r="H4574" s="103">
        <f>FLOOR(H4573*0.15,0.01)</f>
        <v>745.66</v>
      </c>
    </row>
    <row r="4575" spans="1:8" ht="16.5">
      <c r="A4575" s="28" t="s">
        <v>3384</v>
      </c>
      <c r="B4575" s="103">
        <f>+H4575</f>
        <v>5716.78</v>
      </c>
      <c r="C4575" s="1" t="s">
        <v>3385</v>
      </c>
      <c r="F4575" s="42" t="s">
        <v>1711</v>
      </c>
      <c r="G4575" s="106"/>
      <c r="H4575" s="103">
        <f>SUM(H4573:H4574)</f>
        <v>5716.78</v>
      </c>
    </row>
    <row r="4578" spans="1:8">
      <c r="A4578" s="145">
        <f>+A4565+1</f>
        <v>299</v>
      </c>
      <c r="B4578" s="1106"/>
      <c r="C4578" s="1113"/>
      <c r="D4578" s="1113"/>
      <c r="E4578" s="1113"/>
      <c r="F4578" s="1113"/>
      <c r="G4578" s="1113"/>
      <c r="H4578" s="1113"/>
    </row>
    <row r="4579" spans="1:8">
      <c r="A4579" s="15"/>
      <c r="B4579" s="1082" t="s">
        <v>4334</v>
      </c>
      <c r="C4579" s="1082"/>
      <c r="D4579" s="1082"/>
      <c r="E4579" s="1082"/>
      <c r="F4579" s="1082"/>
      <c r="G4579" s="1082"/>
      <c r="H4579" s="1082"/>
    </row>
    <row r="4580" spans="1:8">
      <c r="A4580" s="25"/>
      <c r="B4580" s="1082"/>
      <c r="C4580" s="1082"/>
      <c r="D4580" s="1082"/>
      <c r="E4580" s="1082"/>
      <c r="F4580" s="1082"/>
      <c r="G4580" s="1082"/>
      <c r="H4580" s="1082"/>
    </row>
    <row r="4581" spans="1:8">
      <c r="B4581" s="1083" t="s">
        <v>1604</v>
      </c>
      <c r="C4581" s="1083"/>
      <c r="D4581" s="1083"/>
      <c r="E4581" s="1083"/>
      <c r="F4581" s="1083"/>
      <c r="G4581" s="1083"/>
      <c r="H4581" s="1083"/>
    </row>
    <row r="4582" spans="1:8" ht="31.5">
      <c r="B4582" s="70" t="s">
        <v>3340</v>
      </c>
      <c r="C4582" s="70" t="s">
        <v>3341</v>
      </c>
      <c r="D4582" s="70" t="s">
        <v>3342</v>
      </c>
      <c r="E4582" s="70" t="s">
        <v>3343</v>
      </c>
      <c r="F4582" s="70" t="s">
        <v>3344</v>
      </c>
      <c r="G4582" s="70" t="s">
        <v>3345</v>
      </c>
      <c r="H4582" s="70" t="s">
        <v>1704</v>
      </c>
    </row>
    <row r="4583" spans="1:8" ht="15.75">
      <c r="B4583" s="60" t="s">
        <v>425</v>
      </c>
      <c r="C4583" s="60" t="s">
        <v>425</v>
      </c>
      <c r="D4583" s="8"/>
      <c r="E4583" s="8"/>
      <c r="F4583" s="111"/>
      <c r="G4583" s="111"/>
      <c r="H4583" s="112"/>
    </row>
    <row r="4584" spans="1:8" ht="16.5">
      <c r="B4584" s="83" t="s">
        <v>2330</v>
      </c>
      <c r="C4584" s="36" t="s">
        <v>4332</v>
      </c>
      <c r="D4584" s="52"/>
      <c r="E4584" s="12"/>
      <c r="F4584" s="120"/>
      <c r="G4584" s="120"/>
      <c r="H4584" s="125"/>
    </row>
    <row r="4585" spans="1:8" ht="17.25">
      <c r="B4585" s="83" t="s">
        <v>424</v>
      </c>
      <c r="C4585" s="82" t="s">
        <v>2777</v>
      </c>
      <c r="D4585" s="44">
        <v>1</v>
      </c>
      <c r="E4585" s="55" t="s">
        <v>3170</v>
      </c>
      <c r="F4585" s="113">
        <f>'update Rate'!F187</f>
        <v>5326.2</v>
      </c>
      <c r="G4585" s="113">
        <f>FLOOR(D4585*F4585,0.01)</f>
        <v>5326.2</v>
      </c>
      <c r="H4585" s="9"/>
    </row>
    <row r="4586" spans="1:8" ht="16.5">
      <c r="B4586" s="84"/>
      <c r="C4586" s="84" t="s">
        <v>2539</v>
      </c>
      <c r="D4586" s="53"/>
      <c r="E4586" s="15"/>
      <c r="F4586" s="126"/>
      <c r="G4586" s="126"/>
      <c r="H4586" s="127">
        <f>SUM(G4585)</f>
        <v>5326.2</v>
      </c>
    </row>
    <row r="4587" spans="1:8" ht="16.5">
      <c r="F4587" s="42" t="s">
        <v>1708</v>
      </c>
      <c r="G4587" s="106"/>
      <c r="H4587" s="65">
        <f>SUM(H4583:H4586)</f>
        <v>5326.2</v>
      </c>
    </row>
    <row r="4588" spans="1:8" ht="16.5">
      <c r="B4588" s="1" t="s">
        <v>426</v>
      </c>
      <c r="F4588" s="42" t="s">
        <v>1688</v>
      </c>
      <c r="G4588" s="106"/>
      <c r="H4588" s="103">
        <f>FLOOR(H4587*0.15,0.01)</f>
        <v>798.93000000000006</v>
      </c>
    </row>
    <row r="4589" spans="1:8" ht="16.5">
      <c r="A4589" s="28" t="s">
        <v>3384</v>
      </c>
      <c r="B4589" s="103">
        <f>+H4589</f>
        <v>6125.13</v>
      </c>
      <c r="C4589" s="1" t="s">
        <v>3385</v>
      </c>
      <c r="F4589" s="42" t="s">
        <v>1711</v>
      </c>
      <c r="G4589" s="106"/>
      <c r="H4589" s="103">
        <f>SUM(H4587:H4588)</f>
        <v>6125.13</v>
      </c>
    </row>
    <row r="4591" spans="1:8">
      <c r="A4591" s="145">
        <f>+A4578+1</f>
        <v>300</v>
      </c>
      <c r="B4591" s="1106"/>
      <c r="C4591" s="1113"/>
      <c r="D4591" s="1113"/>
      <c r="E4591" s="1113"/>
      <c r="F4591" s="1113"/>
      <c r="G4591" s="1113"/>
      <c r="H4591" s="1113"/>
    </row>
    <row r="4592" spans="1:8">
      <c r="A4592" s="15"/>
      <c r="B4592" s="1082" t="s">
        <v>4347</v>
      </c>
      <c r="C4592" s="1082"/>
      <c r="D4592" s="1082"/>
      <c r="E4592" s="1082"/>
      <c r="F4592" s="1082"/>
      <c r="G4592" s="1082"/>
      <c r="H4592" s="1082"/>
    </row>
    <row r="4593" spans="1:8">
      <c r="A4593" s="25"/>
      <c r="B4593" s="1082"/>
      <c r="C4593" s="1082"/>
      <c r="D4593" s="1082"/>
      <c r="E4593" s="1082"/>
      <c r="F4593" s="1082"/>
      <c r="G4593" s="1082"/>
      <c r="H4593" s="1082"/>
    </row>
    <row r="4594" spans="1:8" ht="15" customHeight="1">
      <c r="A4594" s="25"/>
      <c r="B4594" s="1083" t="s">
        <v>1604</v>
      </c>
      <c r="C4594" s="1083"/>
      <c r="D4594" s="1083"/>
      <c r="E4594" s="1083"/>
      <c r="F4594" s="1083"/>
      <c r="G4594" s="1083"/>
      <c r="H4594" s="1083"/>
    </row>
    <row r="4595" spans="1:8" ht="31.5">
      <c r="B4595" s="70" t="s">
        <v>3340</v>
      </c>
      <c r="C4595" s="70" t="s">
        <v>3341</v>
      </c>
      <c r="D4595" s="70" t="s">
        <v>3342</v>
      </c>
      <c r="E4595" s="70" t="s">
        <v>3343</v>
      </c>
      <c r="F4595" s="70" t="s">
        <v>3344</v>
      </c>
      <c r="G4595" s="70" t="s">
        <v>3345</v>
      </c>
      <c r="H4595" s="70" t="s">
        <v>1704</v>
      </c>
    </row>
    <row r="4596" spans="1:8" ht="15.75">
      <c r="B4596" s="60" t="s">
        <v>425</v>
      </c>
      <c r="C4596" s="60" t="s">
        <v>425</v>
      </c>
      <c r="D4596" s="8"/>
      <c r="E4596" s="8"/>
      <c r="F4596" s="111"/>
      <c r="G4596" s="111"/>
      <c r="H4596" s="112"/>
    </row>
    <row r="4597" spans="1:8" ht="13.5" customHeight="1">
      <c r="B4597" s="83" t="s">
        <v>2330</v>
      </c>
      <c r="C4597" s="36" t="s">
        <v>4333</v>
      </c>
      <c r="D4597" s="52"/>
      <c r="E4597" s="12"/>
      <c r="F4597" s="120"/>
      <c r="G4597" s="120"/>
      <c r="H4597" s="125"/>
    </row>
    <row r="4598" spans="1:8" ht="13.5" customHeight="1">
      <c r="B4598" s="83" t="s">
        <v>424</v>
      </c>
      <c r="C4598" s="36" t="s">
        <v>4357</v>
      </c>
      <c r="D4598" s="44">
        <v>1</v>
      </c>
      <c r="E4598" s="55" t="s">
        <v>3170</v>
      </c>
      <c r="F4598" s="113">
        <f>'update Rate'!F188</f>
        <v>5562.92</v>
      </c>
      <c r="G4598" s="113">
        <f>FLOOR(D4598*F4598,0.01)</f>
        <v>5562.92</v>
      </c>
      <c r="H4598" s="9"/>
    </row>
    <row r="4599" spans="1:8" ht="16.5">
      <c r="B4599" s="35"/>
      <c r="C4599" s="80" t="s">
        <v>2339</v>
      </c>
      <c r="D4599" s="53"/>
      <c r="E4599" s="15"/>
      <c r="F4599" s="126"/>
      <c r="G4599" s="126"/>
      <c r="H4599" s="127">
        <f>SUM(G4598)</f>
        <v>5562.92</v>
      </c>
    </row>
    <row r="4600" spans="1:8" ht="16.5">
      <c r="F4600" s="42" t="s">
        <v>1708</v>
      </c>
      <c r="G4600" s="106"/>
      <c r="H4600" s="65">
        <f>SUM(H4596:H4599)</f>
        <v>5562.92</v>
      </c>
    </row>
    <row r="4601" spans="1:8" ht="16.5">
      <c r="B4601" s="1" t="s">
        <v>426</v>
      </c>
      <c r="F4601" s="42" t="s">
        <v>1688</v>
      </c>
      <c r="G4601" s="106"/>
      <c r="H4601" s="103">
        <f>FLOOR(H4600*0.15,0.01)</f>
        <v>834.43000000000006</v>
      </c>
    </row>
    <row r="4602" spans="1:8" ht="16.5">
      <c r="A4602" s="28" t="s">
        <v>3384</v>
      </c>
      <c r="B4602" s="103">
        <f>+H4602</f>
        <v>6397.35</v>
      </c>
      <c r="C4602" s="1" t="s">
        <v>3385</v>
      </c>
      <c r="F4602" s="42" t="s">
        <v>1711</v>
      </c>
      <c r="G4602" s="106"/>
      <c r="H4602" s="103">
        <f>SUM(H4600:H4601)</f>
        <v>6397.35</v>
      </c>
    </row>
    <row r="4604" spans="1:8" ht="28.5" customHeight="1">
      <c r="A4604" s="145">
        <f>+A4591+1</f>
        <v>301</v>
      </c>
      <c r="B4604" s="1078" t="s">
        <v>4349</v>
      </c>
      <c r="C4604" s="1079"/>
      <c r="D4604" s="1079"/>
      <c r="E4604" s="1079"/>
      <c r="F4604" s="1079"/>
      <c r="G4604" s="1079"/>
      <c r="H4604" s="1079"/>
    </row>
    <row r="4605" spans="1:8" ht="5.25" customHeight="1">
      <c r="A4605" s="15"/>
      <c r="B4605" s="1080"/>
      <c r="C4605" s="1081"/>
      <c r="D4605" s="1081"/>
      <c r="E4605" s="1081"/>
      <c r="F4605" s="1081"/>
      <c r="G4605" s="1081"/>
      <c r="H4605" s="1081"/>
    </row>
    <row r="4606" spans="1:8">
      <c r="B4606" s="1083" t="s">
        <v>1604</v>
      </c>
      <c r="C4606" s="1083"/>
      <c r="D4606" s="1083"/>
      <c r="E4606" s="1083"/>
      <c r="F4606" s="1083"/>
      <c r="G4606" s="1083"/>
      <c r="H4606" s="1083"/>
    </row>
    <row r="4607" spans="1:8" ht="31.5">
      <c r="B4607" s="70" t="s">
        <v>3340</v>
      </c>
      <c r="C4607" s="70" t="s">
        <v>3341</v>
      </c>
      <c r="D4607" s="70" t="s">
        <v>3342</v>
      </c>
      <c r="E4607" s="70" t="s">
        <v>3343</v>
      </c>
      <c r="F4607" s="70" t="s">
        <v>3344</v>
      </c>
      <c r="G4607" s="70" t="s">
        <v>3345</v>
      </c>
      <c r="H4607" s="70" t="s">
        <v>1704</v>
      </c>
    </row>
    <row r="4608" spans="1:8" ht="15.75">
      <c r="B4608" s="60" t="s">
        <v>425</v>
      </c>
      <c r="C4608" s="60" t="s">
        <v>425</v>
      </c>
      <c r="D4608" s="8"/>
      <c r="E4608" s="8"/>
      <c r="F4608" s="111"/>
      <c r="G4608" s="111"/>
      <c r="H4608" s="112"/>
    </row>
    <row r="4609" spans="1:8" ht="16.5">
      <c r="B4609" s="83" t="s">
        <v>2330</v>
      </c>
      <c r="C4609" s="36" t="s">
        <v>4358</v>
      </c>
      <c r="D4609" s="52"/>
      <c r="E4609" s="12"/>
      <c r="F4609" s="120"/>
      <c r="G4609" s="120"/>
      <c r="H4609" s="125"/>
    </row>
    <row r="4610" spans="1:8" ht="15" customHeight="1">
      <c r="B4610" s="83" t="s">
        <v>424</v>
      </c>
      <c r="C4610" s="36" t="s">
        <v>4359</v>
      </c>
      <c r="D4610" s="44">
        <v>1</v>
      </c>
      <c r="E4610" s="55" t="s">
        <v>3170</v>
      </c>
      <c r="F4610" s="113">
        <f>'update Rate'!F189</f>
        <v>4734.3999999999996</v>
      </c>
      <c r="G4610" s="113">
        <f>FLOOR(D4610*F4610,0.01)</f>
        <v>4734.4000000000005</v>
      </c>
      <c r="H4610" s="9"/>
    </row>
    <row r="4611" spans="1:8" ht="16.5">
      <c r="B4611" s="35"/>
      <c r="C4611" s="80" t="s">
        <v>2340</v>
      </c>
      <c r="D4611" s="53"/>
      <c r="E4611" s="15"/>
      <c r="F4611" s="126"/>
      <c r="G4611" s="126"/>
      <c r="H4611" s="127">
        <f>SUM(G4610)</f>
        <v>4734.4000000000005</v>
      </c>
    </row>
    <row r="4612" spans="1:8" ht="16.5">
      <c r="F4612" s="42" t="s">
        <v>1708</v>
      </c>
      <c r="G4612" s="106"/>
      <c r="H4612" s="65">
        <f>SUM(H4608:H4611)</f>
        <v>4734.4000000000005</v>
      </c>
    </row>
    <row r="4613" spans="1:8" ht="16.5">
      <c r="B4613" s="1" t="s">
        <v>426</v>
      </c>
      <c r="F4613" s="42" t="s">
        <v>1688</v>
      </c>
      <c r="G4613" s="106"/>
      <c r="H4613" s="103">
        <f>FLOOR(H4612*0.15,0.01)</f>
        <v>710.16</v>
      </c>
    </row>
    <row r="4614" spans="1:8" ht="16.5">
      <c r="A4614" s="28" t="s">
        <v>3384</v>
      </c>
      <c r="B4614" s="103">
        <f>+H4614</f>
        <v>5444.56</v>
      </c>
      <c r="C4614" s="1" t="s">
        <v>3385</v>
      </c>
      <c r="F4614" s="42" t="s">
        <v>1711</v>
      </c>
      <c r="G4614" s="106"/>
      <c r="H4614" s="103">
        <f>SUM(H4612:H4613)</f>
        <v>5444.56</v>
      </c>
    </row>
    <row r="4615" spans="1:8" ht="16.5">
      <c r="A4615" s="222"/>
      <c r="B4615" s="151"/>
      <c r="F4615" s="42"/>
      <c r="G4615" s="106"/>
      <c r="H4615" s="151"/>
    </row>
    <row r="4616" spans="1:8" ht="31.5" customHeight="1">
      <c r="A4616" s="145">
        <f>A4604+1</f>
        <v>302</v>
      </c>
      <c r="B4616" s="1078" t="s">
        <v>4348</v>
      </c>
      <c r="C4616" s="1079"/>
      <c r="D4616" s="1079"/>
      <c r="E4616" s="1079"/>
      <c r="F4616" s="1079"/>
      <c r="G4616" s="1079"/>
      <c r="H4616" s="1079"/>
    </row>
    <row r="4617" spans="1:8">
      <c r="A4617" s="15"/>
      <c r="B4617" s="1080"/>
      <c r="C4617" s="1081"/>
      <c r="D4617" s="1081"/>
      <c r="E4617" s="1081"/>
      <c r="F4617" s="1081"/>
      <c r="G4617" s="1081"/>
      <c r="H4617" s="1081"/>
    </row>
    <row r="4618" spans="1:8">
      <c r="B4618" s="1083" t="s">
        <v>1604</v>
      </c>
      <c r="C4618" s="1083"/>
      <c r="D4618" s="1083"/>
      <c r="E4618" s="1083"/>
      <c r="F4618" s="1083"/>
      <c r="G4618" s="1083"/>
      <c r="H4618" s="1083"/>
    </row>
    <row r="4619" spans="1:8" ht="31.5">
      <c r="B4619" s="70" t="s">
        <v>3340</v>
      </c>
      <c r="C4619" s="70" t="s">
        <v>3341</v>
      </c>
      <c r="D4619" s="70" t="s">
        <v>3342</v>
      </c>
      <c r="E4619" s="70" t="s">
        <v>3343</v>
      </c>
      <c r="F4619" s="70" t="s">
        <v>3344</v>
      </c>
      <c r="G4619" s="70" t="s">
        <v>3345</v>
      </c>
      <c r="H4619" s="70" t="s">
        <v>1704</v>
      </c>
    </row>
    <row r="4620" spans="1:8" ht="15.75">
      <c r="B4620" s="60" t="s">
        <v>425</v>
      </c>
      <c r="C4620" s="60" t="s">
        <v>425</v>
      </c>
      <c r="D4620" s="8"/>
      <c r="E4620" s="8"/>
      <c r="F4620" s="111"/>
      <c r="G4620" s="111"/>
      <c r="H4620" s="112"/>
    </row>
    <row r="4621" spans="1:8" ht="16.5">
      <c r="B4621" s="83" t="s">
        <v>2330</v>
      </c>
      <c r="C4621" s="36" t="s">
        <v>4360</v>
      </c>
      <c r="D4621" s="52"/>
      <c r="E4621" s="12"/>
      <c r="F4621" s="120"/>
      <c r="G4621" s="120"/>
      <c r="H4621" s="125"/>
    </row>
    <row r="4622" spans="1:8" ht="17.25">
      <c r="B4622" s="84" t="s">
        <v>424</v>
      </c>
      <c r="C4622" s="37" t="s">
        <v>4367</v>
      </c>
      <c r="D4622" s="45">
        <v>1</v>
      </c>
      <c r="E4622" s="58" t="s">
        <v>3170</v>
      </c>
      <c r="F4622" s="65">
        <f>'update Rate'!F190</f>
        <v>5799.64</v>
      </c>
      <c r="G4622" s="65">
        <f>FLOOR(D4622*F4622,0.01)</f>
        <v>5799.64</v>
      </c>
      <c r="H4622" s="127">
        <f>SUM(G4622)</f>
        <v>5799.64</v>
      </c>
    </row>
    <row r="4623" spans="1:8" ht="16.5">
      <c r="F4623" s="42" t="s">
        <v>1708</v>
      </c>
      <c r="G4623" s="106"/>
      <c r="H4623" s="65">
        <f>SUM(H4620:H4622)</f>
        <v>5799.64</v>
      </c>
    </row>
    <row r="4624" spans="1:8" ht="16.5">
      <c r="B4624" s="1" t="s">
        <v>426</v>
      </c>
      <c r="F4624" s="42" t="s">
        <v>1688</v>
      </c>
      <c r="G4624" s="106"/>
      <c r="H4624" s="103">
        <f>FLOOR(H4623*0.15,0.01)</f>
        <v>869.94</v>
      </c>
    </row>
    <row r="4625" spans="1:8" ht="16.5">
      <c r="A4625" s="28" t="s">
        <v>3384</v>
      </c>
      <c r="B4625" s="103">
        <f>+H4625</f>
        <v>6669.58</v>
      </c>
      <c r="C4625" s="1" t="s">
        <v>3385</v>
      </c>
      <c r="F4625" s="42" t="s">
        <v>1711</v>
      </c>
      <c r="G4625" s="106"/>
      <c r="H4625" s="103">
        <f>SUM(H4623:H4624)</f>
        <v>6669.58</v>
      </c>
    </row>
    <row r="4626" spans="1:8" ht="16.5">
      <c r="A4626" s="28"/>
      <c r="B4626" s="151"/>
      <c r="F4626" s="42"/>
      <c r="G4626" s="106"/>
      <c r="H4626" s="151"/>
    </row>
    <row r="4627" spans="1:8">
      <c r="A4627" s="145">
        <f>A4616+1</f>
        <v>303</v>
      </c>
    </row>
    <row r="4628" spans="1:8">
      <c r="A4628" s="15"/>
      <c r="B4628" s="1078" t="s">
        <v>4350</v>
      </c>
      <c r="C4628" s="1079"/>
      <c r="D4628" s="1079"/>
      <c r="E4628" s="1079"/>
      <c r="F4628" s="1079"/>
      <c r="G4628" s="1079"/>
      <c r="H4628" s="1079"/>
    </row>
    <row r="4629" spans="1:8">
      <c r="B4629" s="1083" t="s">
        <v>1604</v>
      </c>
      <c r="C4629" s="1083"/>
      <c r="D4629" s="1083"/>
      <c r="E4629" s="1083"/>
      <c r="F4629" s="1083"/>
      <c r="G4629" s="1083"/>
      <c r="H4629" s="1083"/>
    </row>
    <row r="4630" spans="1:8" ht="31.5">
      <c r="B4630" s="70" t="s">
        <v>3340</v>
      </c>
      <c r="C4630" s="70" t="s">
        <v>3341</v>
      </c>
      <c r="D4630" s="70" t="s">
        <v>3342</v>
      </c>
      <c r="E4630" s="70" t="s">
        <v>3343</v>
      </c>
      <c r="F4630" s="70" t="s">
        <v>3344</v>
      </c>
      <c r="G4630" s="70" t="s">
        <v>3345</v>
      </c>
      <c r="H4630" s="70" t="s">
        <v>1704</v>
      </c>
    </row>
    <row r="4631" spans="1:8" ht="15.75">
      <c r="B4631" s="961" t="s">
        <v>425</v>
      </c>
      <c r="C4631" s="961" t="s">
        <v>425</v>
      </c>
      <c r="D4631" s="8"/>
      <c r="E4631" s="8"/>
      <c r="F4631" s="111"/>
      <c r="G4631" s="111"/>
      <c r="H4631" s="964"/>
    </row>
    <row r="4632" spans="1:8" ht="16.5">
      <c r="B4632" s="83" t="s">
        <v>2330</v>
      </c>
      <c r="C4632" s="36" t="s">
        <v>2776</v>
      </c>
      <c r="D4632" s="52"/>
      <c r="E4632" s="12"/>
      <c r="F4632" s="120"/>
      <c r="G4632" s="120"/>
      <c r="H4632" s="967"/>
    </row>
    <row r="4633" spans="1:8" ht="17.25">
      <c r="B4633" s="84" t="s">
        <v>424</v>
      </c>
      <c r="C4633" s="963" t="s">
        <v>2340</v>
      </c>
      <c r="D4633" s="45">
        <v>1</v>
      </c>
      <c r="E4633" s="58" t="s">
        <v>3170</v>
      </c>
      <c r="F4633" s="65">
        <f>'update Rate'!F191</f>
        <v>5799.64</v>
      </c>
      <c r="G4633" s="65">
        <f>FLOOR(D4633*F4633,0.01)</f>
        <v>5799.64</v>
      </c>
      <c r="H4633" s="965">
        <f>SUM(G4633)</f>
        <v>5799.64</v>
      </c>
    </row>
    <row r="4634" spans="1:8" ht="16.5">
      <c r="F4634" s="42" t="s">
        <v>1708</v>
      </c>
      <c r="G4634" s="106"/>
      <c r="H4634" s="65">
        <f>SUM(H4631:H4633)</f>
        <v>5799.64</v>
      </c>
    </row>
    <row r="4635" spans="1:8" ht="16.5">
      <c r="B4635" s="1" t="s">
        <v>426</v>
      </c>
      <c r="F4635" s="42" t="s">
        <v>1688</v>
      </c>
      <c r="G4635" s="106"/>
      <c r="H4635" s="103">
        <f>FLOOR(H4634*0.15,0.01)</f>
        <v>869.94</v>
      </c>
    </row>
    <row r="4636" spans="1:8" ht="16.5">
      <c r="A4636" s="28" t="s">
        <v>3384</v>
      </c>
      <c r="B4636" s="103">
        <f>+H4636</f>
        <v>6669.58</v>
      </c>
      <c r="C4636" s="1" t="s">
        <v>3385</v>
      </c>
      <c r="F4636" s="42" t="s">
        <v>1711</v>
      </c>
      <c r="G4636" s="106"/>
      <c r="H4636" s="103">
        <f>SUM(H4634:H4635)</f>
        <v>6669.58</v>
      </c>
    </row>
    <row r="4637" spans="1:8" ht="16.5">
      <c r="A4637" s="28"/>
      <c r="B4637" s="151"/>
      <c r="F4637" s="42"/>
      <c r="G4637" s="106"/>
      <c r="H4637" s="151"/>
    </row>
    <row r="4638" spans="1:8">
      <c r="A4638" s="145">
        <f>A4627+1</f>
        <v>304</v>
      </c>
    </row>
    <row r="4639" spans="1:8">
      <c r="A4639" s="15"/>
      <c r="B4639" s="1078" t="s">
        <v>4351</v>
      </c>
      <c r="C4639" s="1079"/>
      <c r="D4639" s="1079"/>
      <c r="E4639" s="1079"/>
      <c r="F4639" s="1079"/>
      <c r="G4639" s="1079"/>
      <c r="H4639" s="1079"/>
    </row>
    <row r="4640" spans="1:8">
      <c r="B4640" s="1083" t="s">
        <v>1604</v>
      </c>
      <c r="C4640" s="1083"/>
      <c r="D4640" s="1083"/>
      <c r="E4640" s="1083"/>
      <c r="F4640" s="1083"/>
      <c r="G4640" s="1083"/>
      <c r="H4640" s="1083"/>
    </row>
    <row r="4641" spans="1:8" ht="31.5">
      <c r="B4641" s="70" t="s">
        <v>3340</v>
      </c>
      <c r="C4641" s="70" t="s">
        <v>3341</v>
      </c>
      <c r="D4641" s="70" t="s">
        <v>3342</v>
      </c>
      <c r="E4641" s="70" t="s">
        <v>3343</v>
      </c>
      <c r="F4641" s="70" t="s">
        <v>3344</v>
      </c>
      <c r="G4641" s="70" t="s">
        <v>3345</v>
      </c>
      <c r="H4641" s="70" t="s">
        <v>1704</v>
      </c>
    </row>
    <row r="4642" spans="1:8" ht="15.75">
      <c r="B4642" s="961" t="s">
        <v>425</v>
      </c>
      <c r="C4642" s="961" t="s">
        <v>425</v>
      </c>
      <c r="D4642" s="8"/>
      <c r="E4642" s="8"/>
      <c r="F4642" s="111"/>
      <c r="G4642" s="111"/>
      <c r="H4642" s="964"/>
    </row>
    <row r="4643" spans="1:8" ht="16.5">
      <c r="B4643" s="83" t="s">
        <v>2330</v>
      </c>
      <c r="C4643" s="36" t="s">
        <v>4361</v>
      </c>
      <c r="D4643" s="52"/>
      <c r="E4643" s="12"/>
      <c r="F4643" s="120"/>
      <c r="G4643" s="120"/>
      <c r="H4643" s="967"/>
    </row>
    <row r="4644" spans="1:8" ht="17.25">
      <c r="B4644" s="83" t="s">
        <v>424</v>
      </c>
      <c r="C4644" s="962" t="s">
        <v>2340</v>
      </c>
      <c r="D4644" s="44">
        <v>1</v>
      </c>
      <c r="E4644" s="55" t="s">
        <v>3170</v>
      </c>
      <c r="F4644" s="113">
        <f>'update Rate'!F192</f>
        <v>4497.68</v>
      </c>
      <c r="G4644" s="113">
        <f>FLOOR(D4644*F4644,0.01)</f>
        <v>4497.68</v>
      </c>
      <c r="H4644" s="9"/>
    </row>
    <row r="4645" spans="1:8" ht="16.5">
      <c r="B4645" s="35"/>
      <c r="C4645" s="10"/>
      <c r="D4645" s="53"/>
      <c r="E4645" s="15"/>
      <c r="F4645" s="126"/>
      <c r="G4645" s="126"/>
      <c r="H4645" s="965">
        <f>SUM(G4644)</f>
        <v>4497.68</v>
      </c>
    </row>
    <row r="4646" spans="1:8" ht="16.5">
      <c r="F4646" s="42" t="s">
        <v>1708</v>
      </c>
      <c r="G4646" s="106"/>
      <c r="H4646" s="65">
        <f>SUM(H4642:H4645)</f>
        <v>4497.68</v>
      </c>
    </row>
    <row r="4647" spans="1:8" ht="16.5">
      <c r="B4647" s="1" t="s">
        <v>426</v>
      </c>
      <c r="F4647" s="42" t="s">
        <v>1688</v>
      </c>
      <c r="G4647" s="106"/>
      <c r="H4647" s="103">
        <f>FLOOR(H4646*0.15,0.01)</f>
        <v>674.65</v>
      </c>
    </row>
    <row r="4648" spans="1:8" ht="16.5">
      <c r="A4648" s="28" t="s">
        <v>3384</v>
      </c>
      <c r="B4648" s="103">
        <f>+H4648</f>
        <v>5172.33</v>
      </c>
      <c r="C4648" s="1" t="s">
        <v>3385</v>
      </c>
      <c r="F4648" s="42" t="s">
        <v>1711</v>
      </c>
      <c r="G4648" s="106"/>
      <c r="H4648" s="103">
        <f>SUM(H4646:H4647)</f>
        <v>5172.33</v>
      </c>
    </row>
    <row r="4649" spans="1:8" ht="19.5" customHeight="1">
      <c r="A4649" s="145">
        <f>A4638+1</f>
        <v>305</v>
      </c>
    </row>
    <row r="4650" spans="1:8" ht="26.25" customHeight="1">
      <c r="A4650" s="15"/>
      <c r="B4650" s="1078" t="s">
        <v>4352</v>
      </c>
      <c r="C4650" s="1079"/>
      <c r="D4650" s="1079"/>
      <c r="E4650" s="1079"/>
      <c r="F4650" s="1079"/>
      <c r="G4650" s="1079"/>
      <c r="H4650" s="1079"/>
    </row>
    <row r="4651" spans="1:8">
      <c r="B4651" s="1083" t="s">
        <v>1604</v>
      </c>
      <c r="C4651" s="1083"/>
      <c r="D4651" s="1083"/>
      <c r="E4651" s="1083"/>
      <c r="F4651" s="1083"/>
      <c r="G4651" s="1083"/>
      <c r="H4651" s="1083"/>
    </row>
    <row r="4652" spans="1:8" ht="31.5">
      <c r="B4652" s="70" t="s">
        <v>3340</v>
      </c>
      <c r="C4652" s="70" t="s">
        <v>3341</v>
      </c>
      <c r="D4652" s="70" t="s">
        <v>3342</v>
      </c>
      <c r="E4652" s="70" t="s">
        <v>3343</v>
      </c>
      <c r="F4652" s="70" t="s">
        <v>3344</v>
      </c>
      <c r="G4652" s="70" t="s">
        <v>3345</v>
      </c>
      <c r="H4652" s="70" t="s">
        <v>1704</v>
      </c>
    </row>
    <row r="4653" spans="1:8" ht="15.75">
      <c r="B4653" s="961" t="s">
        <v>425</v>
      </c>
      <c r="C4653" s="961" t="s">
        <v>425</v>
      </c>
      <c r="D4653" s="8"/>
      <c r="E4653" s="8"/>
      <c r="F4653" s="111"/>
      <c r="G4653" s="111"/>
      <c r="H4653" s="964"/>
    </row>
    <row r="4654" spans="1:8" ht="16.5">
      <c r="B4654" s="83" t="s">
        <v>2330</v>
      </c>
      <c r="C4654" s="36" t="s">
        <v>4362</v>
      </c>
      <c r="D4654" s="52"/>
      <c r="E4654" s="12"/>
      <c r="F4654" s="120"/>
      <c r="G4654" s="120"/>
      <c r="H4654" s="967"/>
    </row>
    <row r="4655" spans="1:8" ht="17.25">
      <c r="B4655" s="83" t="s">
        <v>424</v>
      </c>
      <c r="C4655" s="36" t="s">
        <v>4363</v>
      </c>
      <c r="D4655" s="44">
        <v>1</v>
      </c>
      <c r="E4655" s="55" t="s">
        <v>3170</v>
      </c>
      <c r="F4655" s="113">
        <f>'update Rate'!F193</f>
        <v>4497.68</v>
      </c>
      <c r="G4655" s="113">
        <f>FLOOR(D4655*F4655,0.01)</f>
        <v>4497.68</v>
      </c>
      <c r="H4655" s="9"/>
    </row>
    <row r="4656" spans="1:8" ht="16.5">
      <c r="B4656" s="35"/>
      <c r="C4656" s="963" t="s">
        <v>2340</v>
      </c>
      <c r="D4656" s="53"/>
      <c r="E4656" s="15"/>
      <c r="F4656" s="126"/>
      <c r="G4656" s="126"/>
      <c r="H4656" s="965">
        <f>SUM(G4655)</f>
        <v>4497.68</v>
      </c>
    </row>
    <row r="4657" spans="1:8" ht="16.5">
      <c r="F4657" s="42" t="s">
        <v>1708</v>
      </c>
      <c r="G4657" s="106"/>
      <c r="H4657" s="65">
        <f>SUM(H4653:H4656)</f>
        <v>4497.68</v>
      </c>
    </row>
    <row r="4658" spans="1:8" ht="16.5">
      <c r="B4658" s="1" t="s">
        <v>426</v>
      </c>
      <c r="F4658" s="42" t="s">
        <v>1688</v>
      </c>
      <c r="G4658" s="106"/>
      <c r="H4658" s="103">
        <f>FLOOR(H4657*0.15,0.01)</f>
        <v>674.65</v>
      </c>
    </row>
    <row r="4659" spans="1:8" ht="16.5">
      <c r="A4659" s="28" t="s">
        <v>3384</v>
      </c>
      <c r="B4659" s="103">
        <f>+H4659</f>
        <v>5172.33</v>
      </c>
      <c r="C4659" s="1" t="s">
        <v>3385</v>
      </c>
      <c r="F4659" s="42" t="s">
        <v>1711</v>
      </c>
      <c r="G4659" s="106"/>
      <c r="H4659" s="103">
        <f>SUM(H4657:H4658)</f>
        <v>5172.33</v>
      </c>
    </row>
    <row r="4660" spans="1:8" ht="16.5">
      <c r="A4660" s="28"/>
      <c r="B4660" s="151"/>
      <c r="F4660" s="42"/>
      <c r="G4660" s="106"/>
      <c r="H4660" s="151"/>
    </row>
    <row r="4661" spans="1:8" ht="16.5" customHeight="1">
      <c r="A4661" s="145">
        <f>A4649+1</f>
        <v>306</v>
      </c>
    </row>
    <row r="4662" spans="1:8" ht="30" customHeight="1">
      <c r="A4662" s="15"/>
      <c r="B4662" s="1078" t="s">
        <v>4353</v>
      </c>
      <c r="C4662" s="1079"/>
      <c r="D4662" s="1079"/>
      <c r="E4662" s="1079"/>
      <c r="F4662" s="1079"/>
      <c r="G4662" s="1079"/>
      <c r="H4662" s="1079"/>
    </row>
    <row r="4663" spans="1:8">
      <c r="B4663" s="1083" t="s">
        <v>1604</v>
      </c>
      <c r="C4663" s="1083"/>
      <c r="D4663" s="1083"/>
      <c r="E4663" s="1083"/>
      <c r="F4663" s="1083"/>
      <c r="G4663" s="1083"/>
      <c r="H4663" s="1083"/>
    </row>
    <row r="4664" spans="1:8" ht="31.5">
      <c r="B4664" s="70" t="s">
        <v>3340</v>
      </c>
      <c r="C4664" s="70" t="s">
        <v>3341</v>
      </c>
      <c r="D4664" s="70" t="s">
        <v>3342</v>
      </c>
      <c r="E4664" s="70" t="s">
        <v>3343</v>
      </c>
      <c r="F4664" s="70" t="s">
        <v>3344</v>
      </c>
      <c r="G4664" s="70" t="s">
        <v>3345</v>
      </c>
      <c r="H4664" s="70" t="s">
        <v>1704</v>
      </c>
    </row>
    <row r="4665" spans="1:8" ht="15.75">
      <c r="B4665" s="961" t="s">
        <v>425</v>
      </c>
      <c r="C4665" s="961" t="s">
        <v>425</v>
      </c>
      <c r="D4665" s="8"/>
      <c r="E4665" s="8"/>
      <c r="F4665" s="111"/>
      <c r="G4665" s="111"/>
      <c r="H4665" s="964"/>
    </row>
    <row r="4666" spans="1:8" ht="16.5">
      <c r="B4666" s="83" t="s">
        <v>2330</v>
      </c>
      <c r="C4666" s="36" t="s">
        <v>4364</v>
      </c>
      <c r="D4666" s="52"/>
      <c r="E4666" s="12"/>
      <c r="F4666" s="120"/>
      <c r="G4666" s="120"/>
      <c r="H4666" s="967"/>
    </row>
    <row r="4667" spans="1:8" ht="17.25">
      <c r="B4667" s="83" t="s">
        <v>424</v>
      </c>
      <c r="C4667" s="36" t="s">
        <v>4365</v>
      </c>
      <c r="D4667" s="44">
        <v>1</v>
      </c>
      <c r="E4667" s="55" t="s">
        <v>3170</v>
      </c>
      <c r="F4667" s="113">
        <f>'update Rate'!F194</f>
        <v>4497.68</v>
      </c>
      <c r="G4667" s="113">
        <f>FLOOR(D4667*F4667,0.01)</f>
        <v>4497.68</v>
      </c>
      <c r="H4667" s="9"/>
    </row>
    <row r="4668" spans="1:8" ht="16.5">
      <c r="B4668" s="35"/>
      <c r="C4668" s="963" t="s">
        <v>2340</v>
      </c>
      <c r="D4668" s="53"/>
      <c r="E4668" s="15"/>
      <c r="F4668" s="126"/>
      <c r="G4668" s="126"/>
      <c r="H4668" s="965">
        <f>SUM(G4667)</f>
        <v>4497.68</v>
      </c>
    </row>
    <row r="4669" spans="1:8" ht="16.5">
      <c r="F4669" s="42" t="s">
        <v>1708</v>
      </c>
      <c r="G4669" s="106"/>
      <c r="H4669" s="65">
        <f>SUM(H4665:H4668)</f>
        <v>4497.68</v>
      </c>
    </row>
    <row r="4670" spans="1:8" ht="16.5">
      <c r="B4670" s="1" t="s">
        <v>426</v>
      </c>
      <c r="F4670" s="42" t="s">
        <v>1688</v>
      </c>
      <c r="G4670" s="106"/>
      <c r="H4670" s="103">
        <f>FLOOR(H4669*0.15,0.01)</f>
        <v>674.65</v>
      </c>
    </row>
    <row r="4671" spans="1:8" ht="16.5">
      <c r="A4671" s="28" t="s">
        <v>3384</v>
      </c>
      <c r="B4671" s="103">
        <f>+H4671</f>
        <v>5172.33</v>
      </c>
      <c r="C4671" s="1" t="s">
        <v>3385</v>
      </c>
      <c r="F4671" s="42" t="s">
        <v>1711</v>
      </c>
      <c r="G4671" s="106"/>
      <c r="H4671" s="103">
        <f>SUM(H4669:H4670)</f>
        <v>5172.33</v>
      </c>
    </row>
    <row r="4672" spans="1:8" ht="16.5">
      <c r="A4672" s="28"/>
      <c r="B4672" s="151"/>
      <c r="F4672" s="42"/>
      <c r="G4672" s="106"/>
      <c r="H4672" s="151"/>
    </row>
    <row r="4673" spans="1:8">
      <c r="A4673" s="145">
        <f>A4661+1</f>
        <v>307</v>
      </c>
    </row>
    <row r="4674" spans="1:8" ht="28.5" customHeight="1">
      <c r="A4674" s="15"/>
      <c r="B4674" s="1078" t="s">
        <v>4354</v>
      </c>
      <c r="C4674" s="1079"/>
      <c r="D4674" s="1079"/>
      <c r="E4674" s="1079"/>
      <c r="F4674" s="1079"/>
      <c r="G4674" s="1079"/>
      <c r="H4674" s="1079"/>
    </row>
    <row r="4675" spans="1:8">
      <c r="B4675" s="1083" t="s">
        <v>1604</v>
      </c>
      <c r="C4675" s="1083"/>
      <c r="D4675" s="1083"/>
      <c r="E4675" s="1083"/>
      <c r="F4675" s="1083"/>
      <c r="G4675" s="1083"/>
      <c r="H4675" s="1083"/>
    </row>
    <row r="4676" spans="1:8" ht="31.5">
      <c r="B4676" s="70" t="s">
        <v>3340</v>
      </c>
      <c r="C4676" s="70" t="s">
        <v>3341</v>
      </c>
      <c r="D4676" s="70" t="s">
        <v>3342</v>
      </c>
      <c r="E4676" s="70" t="s">
        <v>3343</v>
      </c>
      <c r="F4676" s="70" t="s">
        <v>3344</v>
      </c>
      <c r="G4676" s="70" t="s">
        <v>3345</v>
      </c>
      <c r="H4676" s="70" t="s">
        <v>1704</v>
      </c>
    </row>
    <row r="4677" spans="1:8" ht="15.75">
      <c r="B4677" s="961" t="s">
        <v>425</v>
      </c>
      <c r="C4677" s="961" t="s">
        <v>425</v>
      </c>
      <c r="D4677" s="8"/>
      <c r="E4677" s="8"/>
      <c r="F4677" s="111"/>
      <c r="G4677" s="111"/>
      <c r="H4677" s="964"/>
    </row>
    <row r="4678" spans="1:8" ht="16.5">
      <c r="B4678" s="83" t="s">
        <v>2330</v>
      </c>
      <c r="C4678" s="36" t="s">
        <v>4364</v>
      </c>
      <c r="D4678" s="52"/>
      <c r="E4678" s="12"/>
      <c r="F4678" s="120"/>
      <c r="G4678" s="120"/>
      <c r="H4678" s="967"/>
    </row>
    <row r="4679" spans="1:8" ht="17.25">
      <c r="B4679" s="83" t="s">
        <v>424</v>
      </c>
      <c r="C4679" s="36" t="s">
        <v>4365</v>
      </c>
      <c r="D4679" s="44">
        <v>1</v>
      </c>
      <c r="E4679" s="55" t="s">
        <v>3170</v>
      </c>
      <c r="F4679" s="113">
        <f>'update Rate'!F195</f>
        <v>4260.96</v>
      </c>
      <c r="G4679" s="113">
        <f>FLOOR(D4679*F4679,0.01)</f>
        <v>4260.96</v>
      </c>
      <c r="H4679" s="9"/>
    </row>
    <row r="4680" spans="1:8" ht="16.5">
      <c r="B4680" s="35"/>
      <c r="C4680" s="963" t="s">
        <v>2340</v>
      </c>
      <c r="D4680" s="53"/>
      <c r="E4680" s="15"/>
      <c r="F4680" s="126"/>
      <c r="G4680" s="126"/>
      <c r="H4680" s="965">
        <f>SUM(G4679)</f>
        <v>4260.96</v>
      </c>
    </row>
    <row r="4681" spans="1:8" ht="16.5">
      <c r="F4681" s="42" t="s">
        <v>1708</v>
      </c>
      <c r="G4681" s="106"/>
      <c r="H4681" s="65">
        <f>SUM(H4677:H4680)</f>
        <v>4260.96</v>
      </c>
    </row>
    <row r="4682" spans="1:8" ht="16.5">
      <c r="B4682" s="1" t="s">
        <v>426</v>
      </c>
      <c r="F4682" s="42" t="s">
        <v>1688</v>
      </c>
      <c r="G4682" s="106"/>
      <c r="H4682" s="103">
        <f>FLOOR(H4681*0.15,0.01)</f>
        <v>639.14</v>
      </c>
    </row>
    <row r="4683" spans="1:8" ht="16.5">
      <c r="A4683" s="28" t="s">
        <v>3384</v>
      </c>
      <c r="B4683" s="103">
        <f>+H4683</f>
        <v>4900.1000000000004</v>
      </c>
      <c r="C4683" s="1" t="s">
        <v>3385</v>
      </c>
      <c r="F4683" s="42" t="s">
        <v>1711</v>
      </c>
      <c r="G4683" s="106"/>
      <c r="H4683" s="103">
        <f>SUM(H4681:H4682)</f>
        <v>4900.1000000000004</v>
      </c>
    </row>
    <row r="4684" spans="1:8" ht="18">
      <c r="D4684" s="487"/>
    </row>
    <row r="4685" spans="1:8">
      <c r="A4685" s="568">
        <f>A4673+1</f>
        <v>308</v>
      </c>
    </row>
    <row r="4686" spans="1:8">
      <c r="A4686" s="1031" t="s">
        <v>4515</v>
      </c>
      <c r="B4686" s="1086" t="s">
        <v>2493</v>
      </c>
      <c r="C4686" s="1087"/>
      <c r="D4686" s="1087"/>
      <c r="E4686" s="1087"/>
      <c r="F4686" s="1087"/>
      <c r="G4686" s="1087"/>
      <c r="H4686" s="1087"/>
    </row>
    <row r="4687" spans="1:8">
      <c r="A4687" s="1171" t="s">
        <v>1604</v>
      </c>
      <c r="B4687" s="1171"/>
      <c r="C4687" s="1171"/>
      <c r="D4687" s="1171"/>
      <c r="E4687" s="1171"/>
      <c r="F4687" s="1171"/>
      <c r="G4687" s="1171"/>
      <c r="H4687" s="1171"/>
    </row>
    <row r="4688" spans="1:8" ht="31.5">
      <c r="A4688" s="566"/>
      <c r="B4688" s="574" t="s">
        <v>3340</v>
      </c>
      <c r="C4688" s="574" t="s">
        <v>3341</v>
      </c>
      <c r="D4688" s="574" t="s">
        <v>3342</v>
      </c>
      <c r="E4688" s="574" t="s">
        <v>3343</v>
      </c>
      <c r="F4688" s="574" t="s">
        <v>3344</v>
      </c>
      <c r="G4688" s="574" t="s">
        <v>3345</v>
      </c>
      <c r="H4688" s="574" t="s">
        <v>1704</v>
      </c>
    </row>
    <row r="4689" spans="1:8" ht="15.75">
      <c r="A4689" s="566"/>
      <c r="B4689" s="575" t="s">
        <v>2330</v>
      </c>
      <c r="C4689" s="576" t="s">
        <v>3638</v>
      </c>
      <c r="D4689" s="577"/>
      <c r="E4689" s="577"/>
      <c r="F4689" s="578"/>
      <c r="G4689" s="578"/>
      <c r="H4689" s="579"/>
    </row>
    <row r="4690" spans="1:8" ht="17.25">
      <c r="A4690" s="566"/>
      <c r="B4690" s="871" t="s">
        <v>424</v>
      </c>
      <c r="C4690" s="587" t="s">
        <v>1584</v>
      </c>
      <c r="D4690" s="787">
        <v>1</v>
      </c>
      <c r="E4690" s="589" t="s">
        <v>3170</v>
      </c>
      <c r="F4690" s="590">
        <f>+'update Rate'!F343</f>
        <v>7275</v>
      </c>
      <c r="G4690" s="594">
        <f>FLOOR(D4690*F4690,0.01)</f>
        <v>7275</v>
      </c>
      <c r="H4690" s="591">
        <f>SUM(G4690)</f>
        <v>7275</v>
      </c>
    </row>
    <row r="4691" spans="1:8" ht="16.5">
      <c r="A4691" s="566"/>
      <c r="B4691" s="566"/>
      <c r="C4691" s="566"/>
      <c r="D4691" s="566"/>
      <c r="E4691" s="566"/>
      <c r="F4691" s="592" t="s">
        <v>1708</v>
      </c>
      <c r="G4691" s="593"/>
      <c r="H4691" s="594">
        <f>SUM(H4688:H4690)</f>
        <v>7275</v>
      </c>
    </row>
    <row r="4692" spans="1:8" ht="16.5">
      <c r="A4692" s="566"/>
      <c r="B4692" s="566" t="s">
        <v>426</v>
      </c>
      <c r="C4692" s="566"/>
      <c r="D4692" s="566"/>
      <c r="E4692" s="566"/>
      <c r="F4692" s="592" t="s">
        <v>1688</v>
      </c>
      <c r="G4692" s="593"/>
      <c r="H4692" s="594">
        <f>FLOOR(H4691*0.15,0.01)</f>
        <v>1091.25</v>
      </c>
    </row>
    <row r="4693" spans="1:8" ht="16.5">
      <c r="A4693" s="595" t="s">
        <v>3384</v>
      </c>
      <c r="B4693" s="596">
        <f>+H4693</f>
        <v>8366.25</v>
      </c>
      <c r="C4693" s="566" t="s">
        <v>3385</v>
      </c>
      <c r="D4693" s="566"/>
      <c r="E4693" s="566"/>
      <c r="F4693" s="592" t="s">
        <v>1711</v>
      </c>
      <c r="G4693" s="593"/>
      <c r="H4693" s="596">
        <f>SUM(H4691:H4692)</f>
        <v>8366.25</v>
      </c>
    </row>
    <row r="4694" spans="1:8" ht="5.25" customHeight="1">
      <c r="A4694" s="652"/>
      <c r="B4694" s="598"/>
      <c r="C4694" s="566"/>
      <c r="D4694" s="566"/>
      <c r="E4694" s="566"/>
      <c r="F4694" s="592"/>
      <c r="G4694" s="593"/>
      <c r="H4694" s="598"/>
    </row>
    <row r="4695" spans="1:8">
      <c r="A4695" s="568">
        <f>A4685+1</f>
        <v>309</v>
      </c>
      <c r="B4695" s="1084"/>
      <c r="C4695" s="1085"/>
      <c r="D4695" s="1085"/>
      <c r="E4695" s="1085"/>
      <c r="F4695" s="1085"/>
      <c r="G4695" s="1085"/>
      <c r="H4695" s="1085"/>
    </row>
    <row r="4696" spans="1:8">
      <c r="A4696" s="1031" t="s">
        <v>4515</v>
      </c>
      <c r="B4696" s="1185" t="s">
        <v>4017</v>
      </c>
      <c r="C4696" s="1186"/>
      <c r="D4696" s="1186"/>
      <c r="E4696" s="1186"/>
      <c r="F4696" s="1186"/>
      <c r="G4696" s="1186"/>
      <c r="H4696" s="1186"/>
    </row>
    <row r="4697" spans="1:8">
      <c r="A4697" s="566"/>
      <c r="B4697" s="1066" t="s">
        <v>1604</v>
      </c>
      <c r="C4697" s="1066"/>
      <c r="D4697" s="1066"/>
      <c r="E4697" s="1066"/>
      <c r="F4697" s="1066"/>
      <c r="G4697" s="1066"/>
      <c r="H4697" s="1066"/>
    </row>
    <row r="4698" spans="1:8" ht="31.5">
      <c r="A4698" s="566"/>
      <c r="B4698" s="574" t="s">
        <v>3340</v>
      </c>
      <c r="C4698" s="574" t="s">
        <v>3341</v>
      </c>
      <c r="D4698" s="574" t="s">
        <v>3342</v>
      </c>
      <c r="E4698" s="574" t="s">
        <v>3343</v>
      </c>
      <c r="F4698" s="574" t="s">
        <v>3344</v>
      </c>
      <c r="G4698" s="574" t="s">
        <v>3345</v>
      </c>
      <c r="H4698" s="574" t="s">
        <v>1704</v>
      </c>
    </row>
    <row r="4699" spans="1:8" ht="15.75">
      <c r="A4699" s="566"/>
      <c r="B4699" s="575" t="s">
        <v>2330</v>
      </c>
      <c r="C4699" s="576" t="s">
        <v>4027</v>
      </c>
      <c r="D4699" s="577"/>
      <c r="E4699" s="577"/>
      <c r="F4699" s="578"/>
      <c r="G4699" s="578"/>
      <c r="H4699" s="579"/>
    </row>
    <row r="4700" spans="1:8" ht="17.25">
      <c r="A4700" s="566"/>
      <c r="B4700" s="871" t="s">
        <v>424</v>
      </c>
      <c r="C4700" s="587" t="s">
        <v>1584</v>
      </c>
      <c r="D4700" s="787">
        <v>1</v>
      </c>
      <c r="E4700" s="589" t="s">
        <v>3170</v>
      </c>
      <c r="F4700" s="590">
        <f>+'update Rate'!F344</f>
        <v>7975</v>
      </c>
      <c r="G4700" s="594">
        <f>FLOOR(D4700*F4700,0.01)</f>
        <v>7975</v>
      </c>
      <c r="H4700" s="591">
        <f>SUM(G4700)</f>
        <v>7975</v>
      </c>
    </row>
    <row r="4701" spans="1:8" ht="16.5">
      <c r="A4701" s="566"/>
      <c r="B4701" s="566"/>
      <c r="C4701" s="566"/>
      <c r="D4701" s="566"/>
      <c r="E4701" s="566"/>
      <c r="F4701" s="592" t="s">
        <v>1708</v>
      </c>
      <c r="G4701" s="593"/>
      <c r="H4701" s="594">
        <f>SUM(H4698:H4700)</f>
        <v>7975</v>
      </c>
    </row>
    <row r="4702" spans="1:8" ht="16.5">
      <c r="A4702" s="566"/>
      <c r="B4702" s="566" t="s">
        <v>426</v>
      </c>
      <c r="C4702" s="566"/>
      <c r="D4702" s="566"/>
      <c r="E4702" s="566"/>
      <c r="F4702" s="592" t="s">
        <v>1688</v>
      </c>
      <c r="G4702" s="593"/>
      <c r="H4702" s="594">
        <f>FLOOR(H4701*0.15,0.01)</f>
        <v>1196.25</v>
      </c>
    </row>
    <row r="4703" spans="1:8" ht="16.5">
      <c r="A4703" s="595" t="s">
        <v>3384</v>
      </c>
      <c r="B4703" s="596">
        <f>+H4703</f>
        <v>9171.25</v>
      </c>
      <c r="C4703" s="566" t="s">
        <v>3385</v>
      </c>
      <c r="D4703" s="566"/>
      <c r="E4703" s="566"/>
      <c r="F4703" s="592" t="s">
        <v>1711</v>
      </c>
      <c r="G4703" s="593"/>
      <c r="H4703" s="596">
        <f>SUM(H4701:H4702)</f>
        <v>9171.25</v>
      </c>
    </row>
    <row r="4704" spans="1:8">
      <c r="A4704" s="566"/>
      <c r="B4704" s="566"/>
      <c r="C4704" s="566"/>
      <c r="D4704" s="566"/>
      <c r="E4704" s="566"/>
      <c r="F4704" s="566"/>
      <c r="G4704" s="566"/>
      <c r="H4704" s="566"/>
    </row>
    <row r="4705" spans="1:8">
      <c r="A4705" s="568">
        <f>A4695+1</f>
        <v>310</v>
      </c>
      <c r="B4705" s="1084"/>
      <c r="C4705" s="1085"/>
      <c r="D4705" s="1085"/>
      <c r="E4705" s="1085"/>
      <c r="F4705" s="1085"/>
      <c r="G4705" s="1085"/>
      <c r="H4705" s="1085"/>
    </row>
    <row r="4706" spans="1:8">
      <c r="A4706" s="1031" t="s">
        <v>4515</v>
      </c>
      <c r="B4706" s="1183" t="s">
        <v>4018</v>
      </c>
      <c r="C4706" s="1184"/>
      <c r="D4706" s="1184"/>
      <c r="E4706" s="1184"/>
      <c r="F4706" s="1184"/>
      <c r="G4706" s="1184"/>
      <c r="H4706" s="1184"/>
    </row>
    <row r="4707" spans="1:8">
      <c r="A4707" s="572"/>
      <c r="B4707" s="569"/>
      <c r="C4707" s="569"/>
      <c r="D4707" s="569"/>
      <c r="E4707" s="569"/>
      <c r="F4707" s="569"/>
      <c r="G4707" s="569"/>
      <c r="H4707" s="569"/>
    </row>
    <row r="4708" spans="1:8">
      <c r="A4708" s="566"/>
      <c r="B4708" s="1066" t="s">
        <v>1604</v>
      </c>
      <c r="C4708" s="1066"/>
      <c r="D4708" s="1066"/>
      <c r="E4708" s="1066"/>
      <c r="F4708" s="1066"/>
      <c r="G4708" s="1066"/>
      <c r="H4708" s="1066"/>
    </row>
    <row r="4709" spans="1:8" ht="31.5">
      <c r="A4709" s="566"/>
      <c r="B4709" s="574" t="s">
        <v>3340</v>
      </c>
      <c r="C4709" s="574" t="s">
        <v>3341</v>
      </c>
      <c r="D4709" s="574" t="s">
        <v>3342</v>
      </c>
      <c r="E4709" s="574" t="s">
        <v>3343</v>
      </c>
      <c r="F4709" s="574" t="s">
        <v>3344</v>
      </c>
      <c r="G4709" s="574" t="s">
        <v>3345</v>
      </c>
      <c r="H4709" s="574" t="s">
        <v>1704</v>
      </c>
    </row>
    <row r="4710" spans="1:8" ht="31.5">
      <c r="A4710" s="566"/>
      <c r="B4710" s="575" t="s">
        <v>2330</v>
      </c>
      <c r="C4710" s="576" t="s">
        <v>4028</v>
      </c>
      <c r="D4710" s="577"/>
      <c r="E4710" s="577"/>
      <c r="F4710" s="578"/>
      <c r="G4710" s="578"/>
      <c r="H4710" s="579"/>
    </row>
    <row r="4711" spans="1:8" ht="17.25">
      <c r="A4711" s="566"/>
      <c r="B4711" s="871" t="s">
        <v>424</v>
      </c>
      <c r="C4711" s="587" t="s">
        <v>1584</v>
      </c>
      <c r="D4711" s="787">
        <v>1</v>
      </c>
      <c r="E4711" s="589" t="s">
        <v>3170</v>
      </c>
      <c r="F4711" s="590">
        <f>'update Rate'!F345</f>
        <v>8085</v>
      </c>
      <c r="G4711" s="594">
        <f>FLOOR(D4711*F4711,0.01)</f>
        <v>8085</v>
      </c>
      <c r="H4711" s="591">
        <f>SUM(G4711)</f>
        <v>8085</v>
      </c>
    </row>
    <row r="4712" spans="1:8" ht="16.5">
      <c r="A4712" s="566"/>
      <c r="B4712" s="566"/>
      <c r="C4712" s="566"/>
      <c r="D4712" s="566"/>
      <c r="E4712" s="566"/>
      <c r="F4712" s="592" t="s">
        <v>1708</v>
      </c>
      <c r="G4712" s="593"/>
      <c r="H4712" s="594">
        <f>SUM(H4709:H4711)</f>
        <v>8085</v>
      </c>
    </row>
    <row r="4713" spans="1:8" ht="16.5">
      <c r="A4713" s="566"/>
      <c r="B4713" s="566" t="s">
        <v>426</v>
      </c>
      <c r="C4713" s="566"/>
      <c r="D4713" s="566"/>
      <c r="E4713" s="566"/>
      <c r="F4713" s="592" t="s">
        <v>1688</v>
      </c>
      <c r="G4713" s="593"/>
      <c r="H4713" s="594">
        <f>FLOOR(H4712*0.15,0.01)</f>
        <v>1212.75</v>
      </c>
    </row>
    <row r="4714" spans="1:8" ht="16.5">
      <c r="A4714" s="595" t="s">
        <v>3384</v>
      </c>
      <c r="B4714" s="596">
        <f>+H4714</f>
        <v>9297.75</v>
      </c>
      <c r="C4714" s="566" t="s">
        <v>3385</v>
      </c>
      <c r="D4714" s="566"/>
      <c r="E4714" s="566"/>
      <c r="F4714" s="592" t="s">
        <v>1711</v>
      </c>
      <c r="G4714" s="593"/>
      <c r="H4714" s="596">
        <f>SUM(H4712:H4713)</f>
        <v>9297.75</v>
      </c>
    </row>
    <row r="4715" spans="1:8">
      <c r="A4715" s="566"/>
      <c r="B4715" s="566"/>
      <c r="C4715" s="566"/>
      <c r="D4715" s="566"/>
      <c r="E4715" s="566"/>
      <c r="F4715" s="566"/>
      <c r="G4715" s="566"/>
      <c r="H4715" s="566"/>
    </row>
    <row r="4716" spans="1:8">
      <c r="A4716" s="566"/>
      <c r="B4716" s="566"/>
      <c r="C4716" s="566"/>
      <c r="D4716" s="566"/>
      <c r="E4716" s="566"/>
      <c r="F4716" s="566"/>
      <c r="G4716" s="566"/>
      <c r="H4716" s="566"/>
    </row>
    <row r="4717" spans="1:8">
      <c r="A4717" s="568">
        <f>A4705+1</f>
        <v>311</v>
      </c>
      <c r="B4717" s="1084"/>
      <c r="C4717" s="1085"/>
      <c r="D4717" s="1085"/>
      <c r="E4717" s="1085"/>
      <c r="F4717" s="1085"/>
      <c r="G4717" s="1085"/>
      <c r="H4717" s="1085"/>
    </row>
    <row r="4718" spans="1:8">
      <c r="A4718" s="1031" t="s">
        <v>4515</v>
      </c>
      <c r="B4718" s="1086" t="s">
        <v>4013</v>
      </c>
      <c r="C4718" s="1087"/>
      <c r="D4718" s="1087"/>
      <c r="E4718" s="1087"/>
      <c r="F4718" s="1087"/>
      <c r="G4718" s="1087"/>
      <c r="H4718" s="1087"/>
    </row>
    <row r="4719" spans="1:8">
      <c r="A4719" s="566"/>
      <c r="B4719" s="1066" t="s">
        <v>1604</v>
      </c>
      <c r="C4719" s="1066"/>
      <c r="D4719" s="1066"/>
      <c r="E4719" s="1066"/>
      <c r="F4719" s="1066"/>
      <c r="G4719" s="1066"/>
      <c r="H4719" s="1066"/>
    </row>
    <row r="4720" spans="1:8" ht="31.5">
      <c r="A4720" s="566"/>
      <c r="B4720" s="574" t="s">
        <v>3340</v>
      </c>
      <c r="C4720" s="574" t="s">
        <v>3341</v>
      </c>
      <c r="D4720" s="574" t="s">
        <v>3342</v>
      </c>
      <c r="E4720" s="574" t="s">
        <v>3343</v>
      </c>
      <c r="F4720" s="574" t="s">
        <v>3344</v>
      </c>
      <c r="G4720" s="574" t="s">
        <v>3345</v>
      </c>
      <c r="H4720" s="574" t="s">
        <v>1704</v>
      </c>
    </row>
    <row r="4721" spans="1:8" ht="31.5">
      <c r="A4721" s="566"/>
      <c r="B4721" s="575" t="s">
        <v>2330</v>
      </c>
      <c r="C4721" s="576" t="s">
        <v>4029</v>
      </c>
      <c r="D4721" s="577"/>
      <c r="E4721" s="577"/>
      <c r="F4721" s="578"/>
      <c r="G4721" s="578"/>
      <c r="H4721" s="579"/>
    </row>
    <row r="4722" spans="1:8" ht="17.25">
      <c r="A4722" s="566"/>
      <c r="B4722" s="871" t="s">
        <v>424</v>
      </c>
      <c r="C4722" s="587" t="s">
        <v>1584</v>
      </c>
      <c r="D4722" s="787">
        <v>1</v>
      </c>
      <c r="E4722" s="589" t="s">
        <v>3170</v>
      </c>
      <c r="F4722" s="590">
        <f>'update Rate'!F346</f>
        <v>10051</v>
      </c>
      <c r="G4722" s="594">
        <f>FLOOR(D4722*F4722,0.01)</f>
        <v>10051</v>
      </c>
      <c r="H4722" s="591">
        <f>SUM(G4722)</f>
        <v>10051</v>
      </c>
    </row>
    <row r="4723" spans="1:8" ht="16.5">
      <c r="A4723" s="566"/>
      <c r="B4723" s="566"/>
      <c r="C4723" s="566"/>
      <c r="D4723" s="566"/>
      <c r="E4723" s="566"/>
      <c r="F4723" s="592" t="s">
        <v>1708</v>
      </c>
      <c r="G4723" s="593"/>
      <c r="H4723" s="594">
        <f>SUM(H4720:H4722)</f>
        <v>10051</v>
      </c>
    </row>
    <row r="4724" spans="1:8" ht="16.5">
      <c r="A4724" s="566"/>
      <c r="B4724" s="566" t="s">
        <v>426</v>
      </c>
      <c r="C4724" s="566"/>
      <c r="D4724" s="566"/>
      <c r="E4724" s="566"/>
      <c r="F4724" s="592" t="s">
        <v>1688</v>
      </c>
      <c r="G4724" s="593"/>
      <c r="H4724" s="594">
        <f>FLOOR(H4723*0.15,0.01)</f>
        <v>1507.65</v>
      </c>
    </row>
    <row r="4725" spans="1:8" ht="16.5">
      <c r="A4725" s="595" t="s">
        <v>3384</v>
      </c>
      <c r="B4725" s="596">
        <f>+H4725</f>
        <v>11558.65</v>
      </c>
      <c r="C4725" s="566" t="s">
        <v>3385</v>
      </c>
      <c r="D4725" s="566"/>
      <c r="E4725" s="566"/>
      <c r="F4725" s="592" t="s">
        <v>1711</v>
      </c>
      <c r="G4725" s="593"/>
      <c r="H4725" s="596">
        <f>SUM(H4723:H4724)</f>
        <v>11558.65</v>
      </c>
    </row>
    <row r="4726" spans="1:8">
      <c r="A4726" s="566"/>
      <c r="B4726" s="566"/>
      <c r="C4726" s="566"/>
      <c r="D4726" s="566"/>
      <c r="E4726" s="566"/>
      <c r="F4726" s="566"/>
      <c r="G4726" s="566"/>
      <c r="H4726" s="566"/>
    </row>
    <row r="4727" spans="1:8" ht="15.75" customHeight="1">
      <c r="A4727" s="566"/>
      <c r="B4727" s="566"/>
      <c r="C4727" s="566"/>
      <c r="D4727" s="566"/>
      <c r="E4727" s="566"/>
      <c r="F4727" s="566"/>
      <c r="G4727" s="566"/>
      <c r="H4727" s="566"/>
    </row>
    <row r="4728" spans="1:8" ht="15.75" customHeight="1">
      <c r="A4728" s="566"/>
      <c r="B4728" s="566"/>
      <c r="C4728" s="566"/>
      <c r="D4728" s="566"/>
      <c r="E4728" s="566"/>
      <c r="F4728" s="566"/>
      <c r="G4728" s="566"/>
      <c r="H4728" s="566"/>
    </row>
    <row r="4729" spans="1:8">
      <c r="A4729" s="566"/>
      <c r="B4729" s="566"/>
      <c r="C4729" s="566"/>
      <c r="D4729" s="566"/>
      <c r="E4729" s="566"/>
      <c r="F4729" s="566"/>
      <c r="G4729" s="566"/>
      <c r="H4729" s="566"/>
    </row>
    <row r="4730" spans="1:8">
      <c r="A4730" s="568">
        <f>A4717+1</f>
        <v>312</v>
      </c>
      <c r="B4730" s="1084"/>
      <c r="C4730" s="1085"/>
      <c r="D4730" s="1085"/>
      <c r="E4730" s="1085"/>
      <c r="F4730" s="1085"/>
      <c r="G4730" s="1085"/>
      <c r="H4730" s="1085"/>
    </row>
    <row r="4731" spans="1:8">
      <c r="A4731" s="1031" t="s">
        <v>4515</v>
      </c>
      <c r="B4731" s="1086" t="s">
        <v>4014</v>
      </c>
      <c r="C4731" s="1087"/>
      <c r="D4731" s="1087"/>
      <c r="E4731" s="1087"/>
      <c r="F4731" s="1087"/>
      <c r="G4731" s="1087"/>
      <c r="H4731" s="1087"/>
    </row>
    <row r="4732" spans="1:8" ht="5.25" customHeight="1">
      <c r="A4732" s="572"/>
      <c r="B4732" s="569"/>
      <c r="C4732" s="569"/>
      <c r="D4732" s="569"/>
      <c r="E4732" s="569"/>
      <c r="F4732" s="569"/>
      <c r="G4732" s="569"/>
      <c r="H4732" s="569"/>
    </row>
    <row r="4733" spans="1:8">
      <c r="A4733" s="566"/>
      <c r="B4733" s="1066" t="s">
        <v>1604</v>
      </c>
      <c r="C4733" s="1066"/>
      <c r="D4733" s="1066"/>
      <c r="E4733" s="1066"/>
      <c r="F4733" s="1066"/>
      <c r="G4733" s="1066"/>
      <c r="H4733" s="1066"/>
    </row>
    <row r="4734" spans="1:8" ht="31.5">
      <c r="A4734" s="566"/>
      <c r="B4734" s="574" t="s">
        <v>3340</v>
      </c>
      <c r="C4734" s="574" t="s">
        <v>3341</v>
      </c>
      <c r="D4734" s="574" t="s">
        <v>3342</v>
      </c>
      <c r="E4734" s="574" t="s">
        <v>3343</v>
      </c>
      <c r="F4734" s="574" t="s">
        <v>3344</v>
      </c>
      <c r="G4734" s="574" t="s">
        <v>3345</v>
      </c>
      <c r="H4734" s="574" t="s">
        <v>1704</v>
      </c>
    </row>
    <row r="4735" spans="1:8" ht="31.5">
      <c r="A4735" s="566"/>
      <c r="B4735" s="575" t="s">
        <v>2330</v>
      </c>
      <c r="C4735" s="576" t="s">
        <v>4030</v>
      </c>
      <c r="D4735" s="577"/>
      <c r="E4735" s="577"/>
      <c r="F4735" s="578"/>
      <c r="G4735" s="578"/>
      <c r="H4735" s="579"/>
    </row>
    <row r="4736" spans="1:8" ht="17.25">
      <c r="A4736" s="566"/>
      <c r="B4736" s="871" t="s">
        <v>424</v>
      </c>
      <c r="C4736" s="587" t="s">
        <v>1584</v>
      </c>
      <c r="D4736" s="787">
        <v>1</v>
      </c>
      <c r="E4736" s="589" t="s">
        <v>3170</v>
      </c>
      <c r="F4736" s="590">
        <f>'update Rate'!F347</f>
        <v>6531</v>
      </c>
      <c r="G4736" s="594">
        <f>FLOOR(D4736*F4736,0.01)</f>
        <v>6531</v>
      </c>
      <c r="H4736" s="591">
        <f>SUM(G4736)</f>
        <v>6531</v>
      </c>
    </row>
    <row r="4737" spans="1:8" ht="16.5">
      <c r="A4737" s="566"/>
      <c r="B4737" s="566"/>
      <c r="C4737" s="566"/>
      <c r="D4737" s="566"/>
      <c r="E4737" s="566"/>
      <c r="F4737" s="592" t="s">
        <v>1708</v>
      </c>
      <c r="G4737" s="593"/>
      <c r="H4737" s="594">
        <f>SUM(H4734:H4736)</f>
        <v>6531</v>
      </c>
    </row>
    <row r="4738" spans="1:8" ht="16.5">
      <c r="A4738" s="566"/>
      <c r="B4738" s="566" t="s">
        <v>426</v>
      </c>
      <c r="C4738" s="566"/>
      <c r="D4738" s="566"/>
      <c r="E4738" s="566"/>
      <c r="F4738" s="592" t="s">
        <v>1688</v>
      </c>
      <c r="G4738" s="593"/>
      <c r="H4738" s="594">
        <f>FLOOR(H4737*0.15,0.01)</f>
        <v>979.65</v>
      </c>
    </row>
    <row r="4739" spans="1:8" ht="16.5">
      <c r="A4739" s="595" t="s">
        <v>3384</v>
      </c>
      <c r="B4739" s="596">
        <f>+H4739</f>
        <v>7510.65</v>
      </c>
      <c r="C4739" s="566" t="s">
        <v>3385</v>
      </c>
      <c r="D4739" s="566"/>
      <c r="E4739" s="566"/>
      <c r="F4739" s="592" t="s">
        <v>1711</v>
      </c>
      <c r="G4739" s="593"/>
      <c r="H4739" s="596">
        <f>SUM(H4737:H4738)</f>
        <v>7510.65</v>
      </c>
    </row>
    <row r="4740" spans="1:8">
      <c r="A4740" s="566"/>
      <c r="B4740" s="566"/>
      <c r="C4740" s="566"/>
      <c r="D4740" s="566"/>
      <c r="E4740" s="566"/>
      <c r="F4740" s="566"/>
      <c r="G4740" s="566"/>
      <c r="H4740" s="566"/>
    </row>
    <row r="4741" spans="1:8">
      <c r="A4741" s="568">
        <f>A4730+1</f>
        <v>313</v>
      </c>
      <c r="B4741" s="1084"/>
      <c r="C4741" s="1085"/>
      <c r="D4741" s="1085"/>
      <c r="E4741" s="1085"/>
      <c r="F4741" s="1085"/>
      <c r="G4741" s="1085"/>
      <c r="H4741" s="1085"/>
    </row>
    <row r="4742" spans="1:8">
      <c r="A4742" s="1031" t="s">
        <v>4515</v>
      </c>
      <c r="B4742" s="1086" t="s">
        <v>4015</v>
      </c>
      <c r="C4742" s="1087"/>
      <c r="D4742" s="1087"/>
      <c r="E4742" s="1087"/>
      <c r="F4742" s="1087"/>
      <c r="G4742" s="1087"/>
      <c r="H4742" s="1087"/>
    </row>
    <row r="4743" spans="1:8">
      <c r="A4743" s="572"/>
      <c r="B4743" s="569"/>
      <c r="C4743" s="569"/>
      <c r="D4743" s="569"/>
      <c r="E4743" s="569"/>
      <c r="F4743" s="569"/>
      <c r="G4743" s="569"/>
      <c r="H4743" s="569"/>
    </row>
    <row r="4744" spans="1:8">
      <c r="A4744" s="566"/>
      <c r="B4744" s="1066" t="s">
        <v>1604</v>
      </c>
      <c r="C4744" s="1066"/>
      <c r="D4744" s="1066"/>
      <c r="E4744" s="1066"/>
      <c r="F4744" s="1066"/>
      <c r="G4744" s="1066"/>
      <c r="H4744" s="1066"/>
    </row>
    <row r="4745" spans="1:8" ht="31.5">
      <c r="A4745" s="566"/>
      <c r="B4745" s="574" t="s">
        <v>3340</v>
      </c>
      <c r="C4745" s="574" t="s">
        <v>3341</v>
      </c>
      <c r="D4745" s="574" t="s">
        <v>3342</v>
      </c>
      <c r="E4745" s="574" t="s">
        <v>3343</v>
      </c>
      <c r="F4745" s="574" t="s">
        <v>3344</v>
      </c>
      <c r="G4745" s="574" t="s">
        <v>3345</v>
      </c>
      <c r="H4745" s="574" t="s">
        <v>1704</v>
      </c>
    </row>
    <row r="4746" spans="1:8" ht="31.5">
      <c r="A4746" s="566"/>
      <c r="B4746" s="575" t="s">
        <v>2330</v>
      </c>
      <c r="C4746" s="576" t="s">
        <v>4031</v>
      </c>
      <c r="D4746" s="577"/>
      <c r="E4746" s="577"/>
      <c r="F4746" s="578"/>
      <c r="G4746" s="578"/>
      <c r="H4746" s="579"/>
    </row>
    <row r="4747" spans="1:8" ht="17.25">
      <c r="A4747" s="566"/>
      <c r="B4747" s="871" t="s">
        <v>424</v>
      </c>
      <c r="C4747" s="587" t="s">
        <v>1584</v>
      </c>
      <c r="D4747" s="787">
        <v>1</v>
      </c>
      <c r="E4747" s="589" t="s">
        <v>3170</v>
      </c>
      <c r="F4747" s="590">
        <f>'update Rate'!F348</f>
        <v>7005</v>
      </c>
      <c r="G4747" s="594">
        <f>FLOOR(D4747*F4747,0.01)</f>
        <v>7005</v>
      </c>
      <c r="H4747" s="591">
        <f>SUM(G4747)</f>
        <v>7005</v>
      </c>
    </row>
    <row r="4748" spans="1:8" ht="16.5">
      <c r="A4748" s="566"/>
      <c r="B4748" s="566"/>
      <c r="C4748" s="566"/>
      <c r="D4748" s="566"/>
      <c r="E4748" s="566"/>
      <c r="F4748" s="592" t="s">
        <v>1708</v>
      </c>
      <c r="G4748" s="593"/>
      <c r="H4748" s="594">
        <f>SUM(H4745:H4747)</f>
        <v>7005</v>
      </c>
    </row>
    <row r="4749" spans="1:8" ht="16.5">
      <c r="A4749" s="566"/>
      <c r="B4749" s="566" t="s">
        <v>426</v>
      </c>
      <c r="C4749" s="566"/>
      <c r="D4749" s="566"/>
      <c r="E4749" s="566"/>
      <c r="F4749" s="592" t="s">
        <v>1688</v>
      </c>
      <c r="G4749" s="593"/>
      <c r="H4749" s="594">
        <f>FLOOR(H4748*0.15,0.01)</f>
        <v>1050.75</v>
      </c>
    </row>
    <row r="4750" spans="1:8" ht="16.5">
      <c r="A4750" s="595" t="s">
        <v>3384</v>
      </c>
      <c r="B4750" s="596">
        <f>+H4750</f>
        <v>8055.75</v>
      </c>
      <c r="C4750" s="566" t="s">
        <v>3385</v>
      </c>
      <c r="D4750" s="566"/>
      <c r="E4750" s="566"/>
      <c r="F4750" s="592" t="s">
        <v>1711</v>
      </c>
      <c r="G4750" s="593"/>
      <c r="H4750" s="596">
        <f>SUM(H4748:H4749)</f>
        <v>8055.75</v>
      </c>
    </row>
    <row r="4751" spans="1:8">
      <c r="A4751" s="566"/>
      <c r="B4751" s="566"/>
      <c r="C4751" s="566"/>
      <c r="D4751" s="566"/>
      <c r="E4751" s="566"/>
      <c r="F4751" s="566"/>
      <c r="G4751" s="566"/>
      <c r="H4751" s="566"/>
    </row>
    <row r="4752" spans="1:8">
      <c r="A4752" s="566"/>
      <c r="B4752" s="566"/>
      <c r="C4752" s="566"/>
      <c r="D4752" s="566"/>
      <c r="E4752" s="566"/>
      <c r="F4752" s="566"/>
      <c r="G4752" s="566"/>
      <c r="H4752" s="566"/>
    </row>
    <row r="4753" spans="1:8">
      <c r="A4753" s="566"/>
      <c r="B4753" s="566"/>
      <c r="C4753" s="566"/>
      <c r="D4753" s="566"/>
      <c r="E4753" s="566"/>
      <c r="F4753" s="566"/>
      <c r="G4753" s="566"/>
      <c r="H4753" s="566"/>
    </row>
    <row r="4754" spans="1:8">
      <c r="A4754" s="568">
        <f>A4741+1</f>
        <v>314</v>
      </c>
      <c r="B4754" s="1084"/>
      <c r="C4754" s="1085"/>
      <c r="D4754" s="1085"/>
      <c r="E4754" s="1085"/>
      <c r="F4754" s="1085"/>
      <c r="G4754" s="1085"/>
      <c r="H4754" s="1085"/>
    </row>
    <row r="4755" spans="1:8">
      <c r="A4755" s="1031" t="s">
        <v>4515</v>
      </c>
      <c r="B4755" s="1086" t="s">
        <v>4016</v>
      </c>
      <c r="C4755" s="1087"/>
      <c r="D4755" s="1087"/>
      <c r="E4755" s="1087"/>
      <c r="F4755" s="1087"/>
      <c r="G4755" s="1087"/>
      <c r="H4755" s="1087"/>
    </row>
    <row r="4756" spans="1:8">
      <c r="A4756" s="566"/>
      <c r="B4756" s="1066" t="s">
        <v>1604</v>
      </c>
      <c r="C4756" s="1066"/>
      <c r="D4756" s="1066"/>
      <c r="E4756" s="1066"/>
      <c r="F4756" s="1066"/>
      <c r="G4756" s="1066"/>
      <c r="H4756" s="1066"/>
    </row>
    <row r="4757" spans="1:8" ht="31.5">
      <c r="A4757" s="566"/>
      <c r="B4757" s="574" t="s">
        <v>3340</v>
      </c>
      <c r="C4757" s="574" t="s">
        <v>3341</v>
      </c>
      <c r="D4757" s="574" t="s">
        <v>3342</v>
      </c>
      <c r="E4757" s="574" t="s">
        <v>3343</v>
      </c>
      <c r="F4757" s="574" t="s">
        <v>3344</v>
      </c>
      <c r="G4757" s="574" t="s">
        <v>3345</v>
      </c>
      <c r="H4757" s="574" t="s">
        <v>1704</v>
      </c>
    </row>
    <row r="4758" spans="1:8" ht="31.5">
      <c r="A4758" s="566"/>
      <c r="B4758" s="575" t="s">
        <v>2330</v>
      </c>
      <c r="C4758" s="576" t="s">
        <v>4032</v>
      </c>
      <c r="D4758" s="577"/>
      <c r="E4758" s="577"/>
      <c r="F4758" s="578"/>
      <c r="G4758" s="578"/>
      <c r="H4758" s="579"/>
    </row>
    <row r="4759" spans="1:8" ht="17.25">
      <c r="A4759" s="566"/>
      <c r="B4759" s="871" t="s">
        <v>424</v>
      </c>
      <c r="C4759" s="587" t="s">
        <v>1584</v>
      </c>
      <c r="D4759" s="787">
        <v>1</v>
      </c>
      <c r="E4759" s="589" t="s">
        <v>3170</v>
      </c>
      <c r="F4759" s="590">
        <f>'update Rate'!F349</f>
        <v>6470</v>
      </c>
      <c r="G4759" s="594">
        <f>FLOOR(D4759*F4759,0.01)</f>
        <v>6470</v>
      </c>
      <c r="H4759" s="591">
        <f>SUM(G4759)</f>
        <v>6470</v>
      </c>
    </row>
    <row r="4760" spans="1:8" ht="16.5">
      <c r="A4760" s="566"/>
      <c r="B4760" s="566"/>
      <c r="C4760" s="566"/>
      <c r="D4760" s="566"/>
      <c r="E4760" s="566"/>
      <c r="F4760" s="592" t="s">
        <v>1708</v>
      </c>
      <c r="G4760" s="593"/>
      <c r="H4760" s="594">
        <f>SUM(H4757:H4759)</f>
        <v>6470</v>
      </c>
    </row>
    <row r="4761" spans="1:8" ht="16.5">
      <c r="A4761" s="566"/>
      <c r="B4761" s="566" t="s">
        <v>426</v>
      </c>
      <c r="C4761" s="566"/>
      <c r="D4761" s="566"/>
      <c r="E4761" s="566"/>
      <c r="F4761" s="592" t="s">
        <v>1688</v>
      </c>
      <c r="G4761" s="593"/>
      <c r="H4761" s="594">
        <f>FLOOR(H4760*0.15,0.01)</f>
        <v>970.5</v>
      </c>
    </row>
    <row r="4762" spans="1:8" ht="16.5">
      <c r="A4762" s="595" t="s">
        <v>3384</v>
      </c>
      <c r="B4762" s="596">
        <f>+H4762</f>
        <v>7440.5</v>
      </c>
      <c r="C4762" s="566" t="s">
        <v>3385</v>
      </c>
      <c r="D4762" s="566"/>
      <c r="E4762" s="566"/>
      <c r="F4762" s="592" t="s">
        <v>1711</v>
      </c>
      <c r="G4762" s="593"/>
      <c r="H4762" s="596">
        <f>SUM(H4760:H4761)</f>
        <v>7440.5</v>
      </c>
    </row>
    <row r="4763" spans="1:8">
      <c r="A4763" s="566"/>
      <c r="B4763" s="566"/>
      <c r="C4763" s="566"/>
      <c r="D4763" s="566"/>
      <c r="E4763" s="566"/>
      <c r="F4763" s="566"/>
      <c r="G4763" s="566"/>
      <c r="H4763" s="566"/>
    </row>
    <row r="4764" spans="1:8">
      <c r="A4764" s="566"/>
      <c r="B4764" s="566"/>
      <c r="C4764" s="566"/>
      <c r="D4764" s="566"/>
      <c r="E4764" s="566"/>
      <c r="F4764" s="566"/>
      <c r="G4764" s="566"/>
      <c r="H4764" s="566"/>
    </row>
    <row r="4765" spans="1:8">
      <c r="A4765" s="568">
        <f>A4754+1</f>
        <v>315</v>
      </c>
      <c r="B4765" s="1084"/>
      <c r="C4765" s="1085"/>
      <c r="D4765" s="1085"/>
      <c r="E4765" s="1085"/>
      <c r="F4765" s="1085"/>
      <c r="G4765" s="1085"/>
      <c r="H4765" s="1085"/>
    </row>
    <row r="4766" spans="1:8">
      <c r="A4766" s="1031" t="s">
        <v>4515</v>
      </c>
      <c r="B4766" s="1086" t="s">
        <v>4019</v>
      </c>
      <c r="C4766" s="1087"/>
      <c r="D4766" s="1087"/>
      <c r="E4766" s="1087"/>
      <c r="F4766" s="1087"/>
      <c r="G4766" s="1087"/>
      <c r="H4766" s="1087"/>
    </row>
    <row r="4767" spans="1:8">
      <c r="A4767" s="566"/>
      <c r="B4767" s="1066" t="s">
        <v>1604</v>
      </c>
      <c r="C4767" s="1066"/>
      <c r="D4767" s="1066"/>
      <c r="E4767" s="1066"/>
      <c r="F4767" s="1066"/>
      <c r="G4767" s="1066"/>
      <c r="H4767" s="1066"/>
    </row>
    <row r="4768" spans="1:8" ht="31.5">
      <c r="A4768" s="566"/>
      <c r="B4768" s="574" t="s">
        <v>3340</v>
      </c>
      <c r="C4768" s="574" t="s">
        <v>3341</v>
      </c>
      <c r="D4768" s="574" t="s">
        <v>3342</v>
      </c>
      <c r="E4768" s="574" t="s">
        <v>3343</v>
      </c>
      <c r="F4768" s="574" t="s">
        <v>3344</v>
      </c>
      <c r="G4768" s="574" t="s">
        <v>3345</v>
      </c>
      <c r="H4768" s="574" t="s">
        <v>1704</v>
      </c>
    </row>
    <row r="4769" spans="1:8" ht="15.75">
      <c r="A4769" s="566"/>
      <c r="B4769" s="575" t="s">
        <v>2330</v>
      </c>
      <c r="C4769" s="576" t="s">
        <v>4033</v>
      </c>
      <c r="D4769" s="577"/>
      <c r="E4769" s="577"/>
      <c r="F4769" s="578"/>
      <c r="G4769" s="578"/>
      <c r="H4769" s="579"/>
    </row>
    <row r="4770" spans="1:8" ht="17.25">
      <c r="A4770" s="566"/>
      <c r="B4770" s="871" t="s">
        <v>424</v>
      </c>
      <c r="C4770" s="587" t="s">
        <v>1584</v>
      </c>
      <c r="D4770" s="787">
        <v>1</v>
      </c>
      <c r="E4770" s="589" t="s">
        <v>3170</v>
      </c>
      <c r="F4770" s="590">
        <f>'update Rate'!F350</f>
        <v>8625</v>
      </c>
      <c r="G4770" s="594">
        <f>FLOOR(D4770*F4770,0.01)</f>
        <v>8625</v>
      </c>
      <c r="H4770" s="591">
        <f>SUM(G4770)</f>
        <v>8625</v>
      </c>
    </row>
    <row r="4771" spans="1:8" ht="16.5">
      <c r="A4771" s="566"/>
      <c r="B4771" s="566"/>
      <c r="C4771" s="566"/>
      <c r="D4771" s="566"/>
      <c r="E4771" s="566"/>
      <c r="F4771" s="592" t="s">
        <v>1708</v>
      </c>
      <c r="G4771" s="593"/>
      <c r="H4771" s="594">
        <f>SUM(H4768:H4770)</f>
        <v>8625</v>
      </c>
    </row>
    <row r="4772" spans="1:8" ht="16.5">
      <c r="A4772" s="566"/>
      <c r="B4772" s="566" t="s">
        <v>426</v>
      </c>
      <c r="C4772" s="566"/>
      <c r="D4772" s="566"/>
      <c r="E4772" s="566"/>
      <c r="F4772" s="592" t="s">
        <v>1688</v>
      </c>
      <c r="G4772" s="593"/>
      <c r="H4772" s="594">
        <f>FLOOR(H4771*0.15,0.01)</f>
        <v>1293.75</v>
      </c>
    </row>
    <row r="4773" spans="1:8" ht="16.5">
      <c r="A4773" s="595" t="s">
        <v>3384</v>
      </c>
      <c r="B4773" s="596">
        <f>+H4773</f>
        <v>9918.75</v>
      </c>
      <c r="C4773" s="566" t="s">
        <v>3385</v>
      </c>
      <c r="D4773" s="566"/>
      <c r="E4773" s="566"/>
      <c r="F4773" s="592" t="s">
        <v>1711</v>
      </c>
      <c r="G4773" s="593"/>
      <c r="H4773" s="596">
        <f>SUM(H4771:H4772)</f>
        <v>9918.75</v>
      </c>
    </row>
    <row r="4774" spans="1:8">
      <c r="A4774" s="566"/>
      <c r="B4774" s="566"/>
      <c r="C4774" s="566"/>
      <c r="D4774" s="566"/>
      <c r="E4774" s="566"/>
      <c r="F4774" s="566"/>
      <c r="G4774" s="566"/>
      <c r="H4774" s="566"/>
    </row>
    <row r="4775" spans="1:8">
      <c r="A4775" s="566"/>
      <c r="B4775" s="566"/>
      <c r="C4775" s="566"/>
      <c r="D4775" s="566"/>
      <c r="E4775" s="566"/>
      <c r="F4775" s="566"/>
      <c r="G4775" s="566"/>
      <c r="H4775" s="566"/>
    </row>
    <row r="4776" spans="1:8">
      <c r="A4776" s="568">
        <f>A4765+1</f>
        <v>316</v>
      </c>
      <c r="B4776" s="1084"/>
      <c r="C4776" s="1085"/>
      <c r="D4776" s="1085"/>
      <c r="E4776" s="1085"/>
      <c r="F4776" s="1085"/>
      <c r="G4776" s="1085"/>
      <c r="H4776" s="1085"/>
    </row>
    <row r="4777" spans="1:8">
      <c r="A4777" s="1031" t="s">
        <v>4515</v>
      </c>
      <c r="B4777" s="1086" t="s">
        <v>4020</v>
      </c>
      <c r="C4777" s="1087"/>
      <c r="D4777" s="1087"/>
      <c r="E4777" s="1087"/>
      <c r="F4777" s="1087"/>
      <c r="G4777" s="1087"/>
      <c r="H4777" s="1087"/>
    </row>
    <row r="4778" spans="1:8">
      <c r="A4778" s="572"/>
      <c r="B4778" s="569"/>
      <c r="C4778" s="569"/>
      <c r="D4778" s="569"/>
      <c r="E4778" s="569"/>
      <c r="F4778" s="569"/>
      <c r="G4778" s="569"/>
      <c r="H4778" s="569"/>
    </row>
    <row r="4779" spans="1:8">
      <c r="A4779" s="566"/>
      <c r="B4779" s="1066" t="s">
        <v>1604</v>
      </c>
      <c r="C4779" s="1066"/>
      <c r="D4779" s="1066"/>
      <c r="E4779" s="1066"/>
      <c r="F4779" s="1066"/>
      <c r="G4779" s="1066"/>
      <c r="H4779" s="1066"/>
    </row>
    <row r="4780" spans="1:8" ht="31.5">
      <c r="A4780" s="566"/>
      <c r="B4780" s="574" t="s">
        <v>3340</v>
      </c>
      <c r="C4780" s="574" t="s">
        <v>3341</v>
      </c>
      <c r="D4780" s="574" t="s">
        <v>3342</v>
      </c>
      <c r="E4780" s="574" t="s">
        <v>3343</v>
      </c>
      <c r="F4780" s="574" t="s">
        <v>3344</v>
      </c>
      <c r="G4780" s="574" t="s">
        <v>3345</v>
      </c>
      <c r="H4780" s="574" t="s">
        <v>1704</v>
      </c>
    </row>
    <row r="4781" spans="1:8" ht="31.5">
      <c r="A4781" s="566"/>
      <c r="B4781" s="575" t="s">
        <v>2330</v>
      </c>
      <c r="C4781" s="576" t="s">
        <v>4034</v>
      </c>
      <c r="D4781" s="577"/>
      <c r="E4781" s="577"/>
      <c r="F4781" s="578"/>
      <c r="G4781" s="578"/>
      <c r="H4781" s="579"/>
    </row>
    <row r="4782" spans="1:8" ht="17.25">
      <c r="A4782" s="566"/>
      <c r="B4782" s="871" t="s">
        <v>424</v>
      </c>
      <c r="C4782" s="587" t="s">
        <v>1584</v>
      </c>
      <c r="D4782" s="787">
        <v>1</v>
      </c>
      <c r="E4782" s="589" t="s">
        <v>3170</v>
      </c>
      <c r="F4782" s="590">
        <f>'update Rate'!F351</f>
        <v>8355</v>
      </c>
      <c r="G4782" s="594">
        <f>FLOOR(D4782*F4782,0.01)</f>
        <v>8355</v>
      </c>
      <c r="H4782" s="591">
        <f>SUM(G4782)</f>
        <v>8355</v>
      </c>
    </row>
    <row r="4783" spans="1:8" ht="16.5">
      <c r="A4783" s="566"/>
      <c r="B4783" s="566"/>
      <c r="C4783" s="566"/>
      <c r="D4783" s="566"/>
      <c r="E4783" s="566"/>
      <c r="F4783" s="592" t="s">
        <v>1708</v>
      </c>
      <c r="G4783" s="593"/>
      <c r="H4783" s="594">
        <f>SUM(H4780:H4782)</f>
        <v>8355</v>
      </c>
    </row>
    <row r="4784" spans="1:8" ht="16.5">
      <c r="A4784" s="566"/>
      <c r="B4784" s="566" t="s">
        <v>426</v>
      </c>
      <c r="C4784" s="566"/>
      <c r="D4784" s="566"/>
      <c r="E4784" s="566"/>
      <c r="F4784" s="592" t="s">
        <v>1688</v>
      </c>
      <c r="G4784" s="593"/>
      <c r="H4784" s="594">
        <f>FLOOR(H4783*0.15,0.01)</f>
        <v>1253.25</v>
      </c>
    </row>
    <row r="4785" spans="1:8" ht="16.5">
      <c r="A4785" s="595" t="s">
        <v>3384</v>
      </c>
      <c r="B4785" s="596">
        <f>+H4785</f>
        <v>9608.25</v>
      </c>
      <c r="C4785" s="566" t="s">
        <v>3385</v>
      </c>
      <c r="D4785" s="566"/>
      <c r="E4785" s="566"/>
      <c r="F4785" s="592" t="s">
        <v>1711</v>
      </c>
      <c r="G4785" s="593"/>
      <c r="H4785" s="596">
        <f>SUM(H4783:H4784)</f>
        <v>9608.25</v>
      </c>
    </row>
    <row r="4786" spans="1:8" ht="10.5" customHeight="1">
      <c r="A4786" s="566"/>
      <c r="B4786" s="566"/>
      <c r="C4786" s="566"/>
      <c r="D4786" s="566"/>
      <c r="E4786" s="566"/>
      <c r="F4786" s="566"/>
      <c r="G4786" s="566"/>
      <c r="H4786" s="566"/>
    </row>
    <row r="4787" spans="1:8">
      <c r="A4787" s="568">
        <f>A4776+1</f>
        <v>317</v>
      </c>
      <c r="B4787" s="1084"/>
      <c r="C4787" s="1085"/>
      <c r="D4787" s="1085"/>
      <c r="E4787" s="1085"/>
      <c r="F4787" s="1085"/>
      <c r="G4787" s="1085"/>
      <c r="H4787" s="1085"/>
    </row>
    <row r="4788" spans="1:8">
      <c r="A4788" s="1031" t="s">
        <v>4515</v>
      </c>
      <c r="B4788" s="1086" t="s">
        <v>4021</v>
      </c>
      <c r="C4788" s="1087"/>
      <c r="D4788" s="1087"/>
      <c r="E4788" s="1087"/>
      <c r="F4788" s="1087"/>
      <c r="G4788" s="1087"/>
      <c r="H4788" s="1087"/>
    </row>
    <row r="4789" spans="1:8">
      <c r="A4789" s="566"/>
      <c r="B4789" s="1066" t="s">
        <v>1604</v>
      </c>
      <c r="C4789" s="1066"/>
      <c r="D4789" s="1066"/>
      <c r="E4789" s="1066"/>
      <c r="F4789" s="1066"/>
      <c r="G4789" s="1066"/>
      <c r="H4789" s="1066"/>
    </row>
    <row r="4790" spans="1:8" ht="31.5">
      <c r="A4790" s="566"/>
      <c r="B4790" s="574" t="s">
        <v>3340</v>
      </c>
      <c r="C4790" s="574" t="s">
        <v>3341</v>
      </c>
      <c r="D4790" s="574" t="s">
        <v>3342</v>
      </c>
      <c r="E4790" s="574" t="s">
        <v>3343</v>
      </c>
      <c r="F4790" s="574" t="s">
        <v>3344</v>
      </c>
      <c r="G4790" s="574" t="s">
        <v>3345</v>
      </c>
      <c r="H4790" s="574" t="s">
        <v>1704</v>
      </c>
    </row>
    <row r="4791" spans="1:8" ht="15.75">
      <c r="A4791" s="566"/>
      <c r="B4791" s="575" t="s">
        <v>2330</v>
      </c>
      <c r="C4791" s="576" t="s">
        <v>4035</v>
      </c>
      <c r="D4791" s="577"/>
      <c r="E4791" s="577"/>
      <c r="F4791" s="578"/>
      <c r="G4791" s="578"/>
      <c r="H4791" s="579"/>
    </row>
    <row r="4792" spans="1:8" ht="17.25">
      <c r="A4792" s="566"/>
      <c r="B4792" s="871" t="s">
        <v>424</v>
      </c>
      <c r="C4792" s="587" t="s">
        <v>1584</v>
      </c>
      <c r="D4792" s="787">
        <v>1</v>
      </c>
      <c r="E4792" s="589" t="s">
        <v>3170</v>
      </c>
      <c r="F4792" s="590">
        <f>'update Rate'!F352</f>
        <v>8085</v>
      </c>
      <c r="G4792" s="594">
        <f>FLOOR(D4792*F4792,0.01)</f>
        <v>8085</v>
      </c>
      <c r="H4792" s="591">
        <f>SUM(G4792)</f>
        <v>8085</v>
      </c>
    </row>
    <row r="4793" spans="1:8" ht="16.5">
      <c r="A4793" s="566"/>
      <c r="B4793" s="566"/>
      <c r="C4793" s="566"/>
      <c r="D4793" s="566"/>
      <c r="E4793" s="566"/>
      <c r="F4793" s="592" t="s">
        <v>1708</v>
      </c>
      <c r="G4793" s="593"/>
      <c r="H4793" s="594">
        <f>SUM(H4790:H4792)</f>
        <v>8085</v>
      </c>
    </row>
    <row r="4794" spans="1:8" ht="16.5">
      <c r="A4794" s="566"/>
      <c r="B4794" s="566" t="s">
        <v>426</v>
      </c>
      <c r="C4794" s="566"/>
      <c r="D4794" s="566"/>
      <c r="E4794" s="566"/>
      <c r="F4794" s="592" t="s">
        <v>1688</v>
      </c>
      <c r="G4794" s="593"/>
      <c r="H4794" s="594">
        <f>FLOOR(H4793*0.15,0.01)</f>
        <v>1212.75</v>
      </c>
    </row>
    <row r="4795" spans="1:8" ht="16.5">
      <c r="A4795" s="595" t="s">
        <v>3384</v>
      </c>
      <c r="B4795" s="596">
        <f>+H4795</f>
        <v>9297.75</v>
      </c>
      <c r="C4795" s="566" t="s">
        <v>3385</v>
      </c>
      <c r="D4795" s="566"/>
      <c r="E4795" s="566"/>
      <c r="F4795" s="592" t="s">
        <v>1711</v>
      </c>
      <c r="G4795" s="593"/>
      <c r="H4795" s="596">
        <f>SUM(H4793:H4794)</f>
        <v>9297.75</v>
      </c>
    </row>
    <row r="4796" spans="1:8" ht="18">
      <c r="D4796" s="487"/>
    </row>
    <row r="4797" spans="1:8">
      <c r="A4797" s="568">
        <f>A4787+1</f>
        <v>318</v>
      </c>
      <c r="B4797" s="1084"/>
      <c r="C4797" s="1085"/>
      <c r="D4797" s="1085"/>
      <c r="E4797" s="1085"/>
      <c r="F4797" s="1085"/>
      <c r="G4797" s="1085"/>
      <c r="H4797" s="1085"/>
    </row>
    <row r="4798" spans="1:8">
      <c r="A4798" s="1031" t="s">
        <v>4515</v>
      </c>
      <c r="B4798" s="1086" t="s">
        <v>4325</v>
      </c>
      <c r="C4798" s="1087"/>
      <c r="D4798" s="1087"/>
      <c r="E4798" s="1087"/>
      <c r="F4798" s="1087"/>
      <c r="G4798" s="1087"/>
      <c r="H4798" s="1087"/>
    </row>
    <row r="4799" spans="1:8">
      <c r="A4799" s="566"/>
      <c r="B4799" s="1066" t="s">
        <v>1604</v>
      </c>
      <c r="C4799" s="1066"/>
      <c r="D4799" s="1066"/>
      <c r="E4799" s="1066"/>
      <c r="F4799" s="1066"/>
      <c r="G4799" s="1066"/>
      <c r="H4799" s="1066"/>
    </row>
    <row r="4800" spans="1:8" ht="31.5">
      <c r="A4800" s="566"/>
      <c r="B4800" s="574" t="s">
        <v>3340</v>
      </c>
      <c r="C4800" s="574" t="s">
        <v>3341</v>
      </c>
      <c r="D4800" s="574" t="s">
        <v>3342</v>
      </c>
      <c r="E4800" s="574" t="s">
        <v>3343</v>
      </c>
      <c r="F4800" s="574" t="s">
        <v>3344</v>
      </c>
      <c r="G4800" s="574" t="s">
        <v>3345</v>
      </c>
      <c r="H4800" s="574" t="s">
        <v>1704</v>
      </c>
    </row>
    <row r="4801" spans="1:8" ht="15.75">
      <c r="A4801" s="566"/>
      <c r="B4801" s="968" t="s">
        <v>2330</v>
      </c>
      <c r="C4801" s="576" t="s">
        <v>4366</v>
      </c>
      <c r="D4801" s="577"/>
      <c r="E4801" s="577"/>
      <c r="F4801" s="578"/>
      <c r="G4801" s="578"/>
      <c r="H4801" s="579"/>
    </row>
    <row r="4802" spans="1:8" ht="17.25">
      <c r="A4802" s="566"/>
      <c r="B4802" s="871" t="s">
        <v>424</v>
      </c>
      <c r="C4802" s="587" t="s">
        <v>1584</v>
      </c>
      <c r="D4802" s="787">
        <v>1</v>
      </c>
      <c r="E4802" s="589" t="s">
        <v>3170</v>
      </c>
      <c r="F4802" s="590">
        <f>'update Rate'!F533</f>
        <v>11700</v>
      </c>
      <c r="G4802" s="594">
        <f>FLOOR(D4802*F4802,0.01)</f>
        <v>11700</v>
      </c>
      <c r="H4802" s="591">
        <f>SUM(G4802)</f>
        <v>11700</v>
      </c>
    </row>
    <row r="4803" spans="1:8" ht="16.5">
      <c r="A4803" s="566"/>
      <c r="B4803" s="566"/>
      <c r="C4803" s="566"/>
      <c r="D4803" s="566"/>
      <c r="E4803" s="566"/>
      <c r="F4803" s="592" t="s">
        <v>1708</v>
      </c>
      <c r="G4803" s="593"/>
      <c r="H4803" s="594">
        <f>SUM(H4800:H4802)</f>
        <v>11700</v>
      </c>
    </row>
    <row r="4804" spans="1:8" ht="16.5">
      <c r="A4804" s="566"/>
      <c r="B4804" s="566" t="s">
        <v>426</v>
      </c>
      <c r="C4804" s="566"/>
      <c r="D4804" s="566"/>
      <c r="E4804" s="566"/>
      <c r="F4804" s="592" t="s">
        <v>1688</v>
      </c>
      <c r="G4804" s="593"/>
      <c r="H4804" s="594">
        <f>FLOOR(H4803*0.15,0.01)</f>
        <v>1755</v>
      </c>
    </row>
    <row r="4805" spans="1:8" ht="16.5">
      <c r="A4805" s="595" t="s">
        <v>3384</v>
      </c>
      <c r="B4805" s="596">
        <f>+H4805</f>
        <v>13455</v>
      </c>
      <c r="C4805" s="566" t="s">
        <v>3385</v>
      </c>
      <c r="D4805" s="566"/>
      <c r="E4805" s="566"/>
      <c r="F4805" s="592" t="s">
        <v>1711</v>
      </c>
      <c r="G4805" s="593"/>
      <c r="H4805" s="596">
        <f>SUM(H4803:H4804)</f>
        <v>13455</v>
      </c>
    </row>
    <row r="4806" spans="1:8" ht="18">
      <c r="A4806" s="657"/>
      <c r="B4806" s="656"/>
      <c r="C4806" s="656"/>
      <c r="E4806" s="657"/>
      <c r="F4806" s="657"/>
      <c r="G4806" s="657"/>
      <c r="H4806" s="658"/>
    </row>
    <row r="4807" spans="1:8" ht="18">
      <c r="A4807" s="870">
        <f>A4797+1</f>
        <v>319</v>
      </c>
      <c r="B4807" s="1188" t="s">
        <v>1972</v>
      </c>
      <c r="C4807" s="1189"/>
      <c r="D4807" s="1189"/>
      <c r="E4807" s="1189"/>
      <c r="F4807" s="1189"/>
      <c r="G4807" s="1189"/>
      <c r="H4807" s="1189"/>
    </row>
    <row r="4808" spans="1:8" ht="18">
      <c r="A4808" s="418" t="s">
        <v>1954</v>
      </c>
      <c r="B4808" s="656"/>
      <c r="C4808" s="656"/>
      <c r="D4808" s="656"/>
      <c r="E4808" s="656"/>
      <c r="F4808" s="656"/>
      <c r="G4808" s="656"/>
      <c r="H4808" s="656"/>
    </row>
    <row r="4809" spans="1:8">
      <c r="B4809"/>
      <c r="C4809" s="660" t="s">
        <v>4096</v>
      </c>
      <c r="D4809" s="872" t="s">
        <v>1955</v>
      </c>
      <c r="E4809" s="660" t="s">
        <v>4023</v>
      </c>
      <c r="F4809" s="536"/>
      <c r="G4809"/>
      <c r="H4809"/>
    </row>
    <row r="4810" spans="1:8" ht="20.25">
      <c r="B4810" s="488"/>
      <c r="C4810" s="660" t="s">
        <v>1956</v>
      </c>
      <c r="D4810" s="418" t="s">
        <v>1957</v>
      </c>
      <c r="E4810" s="660" t="s">
        <v>4517</v>
      </c>
      <c r="F4810" s="660" t="s">
        <v>4516</v>
      </c>
      <c r="G4810" s="661"/>
      <c r="H4810" s="661"/>
    </row>
    <row r="4811" spans="1:8" ht="20.25">
      <c r="B4811" s="488"/>
      <c r="C4811" s="660" t="s">
        <v>1958</v>
      </c>
      <c r="D4811" s="418" t="s">
        <v>1959</v>
      </c>
      <c r="E4811" s="660" t="s">
        <v>4024</v>
      </c>
      <c r="F4811" s="660"/>
      <c r="G4811" s="661"/>
      <c r="H4811" s="661"/>
    </row>
    <row r="4812" spans="1:8" ht="20.25">
      <c r="B4812" s="488"/>
      <c r="C4812" s="375" t="s">
        <v>1960</v>
      </c>
      <c r="D4812" s="418" t="s">
        <v>1961</v>
      </c>
      <c r="E4812" s="660" t="s">
        <v>1962</v>
      </c>
      <c r="F4812" s="418" t="s">
        <v>1963</v>
      </c>
      <c r="G4812" s="661"/>
      <c r="H4812" s="661"/>
    </row>
    <row r="4813" spans="1:8" ht="27">
      <c r="B4813" s="488"/>
      <c r="C4813" s="375" t="s">
        <v>4554</v>
      </c>
      <c r="D4813" s="418" t="s">
        <v>1964</v>
      </c>
      <c r="E4813" s="660" t="s">
        <v>4553</v>
      </c>
      <c r="F4813" s="418" t="s">
        <v>1965</v>
      </c>
      <c r="G4813" s="661"/>
      <c r="H4813" s="661"/>
    </row>
    <row r="4814" spans="1:8" ht="20.25">
      <c r="B4814" s="488"/>
      <c r="C4814" s="660" t="s">
        <v>4095</v>
      </c>
      <c r="D4814" s="660"/>
      <c r="E4814" s="660"/>
      <c r="F4814" s="660"/>
      <c r="G4814" s="661"/>
      <c r="H4814" s="661"/>
    </row>
    <row r="4815" spans="1:8" ht="20.25">
      <c r="B4815" s="488"/>
      <c r="C4815" s="660" t="s">
        <v>4555</v>
      </c>
      <c r="D4815" s="660"/>
      <c r="E4815" s="660" t="s">
        <v>4556</v>
      </c>
      <c r="F4815" s="1043">
        <f>10/20</f>
        <v>0.5</v>
      </c>
      <c r="G4815" s="661"/>
      <c r="H4815" s="661"/>
    </row>
    <row r="4816" spans="1:8" ht="20.25">
      <c r="B4816" s="488"/>
      <c r="C4816" s="660" t="s">
        <v>1966</v>
      </c>
      <c r="D4816" s="660" t="s">
        <v>1967</v>
      </c>
      <c r="E4816" s="660" t="s">
        <v>4025</v>
      </c>
      <c r="F4816" s="660">
        <f>0.4*375</f>
        <v>150</v>
      </c>
      <c r="G4816" s="661"/>
      <c r="H4816" s="661"/>
    </row>
    <row r="4817" spans="1:8" ht="20.25">
      <c r="B4817" s="488"/>
      <c r="C4817" s="660" t="s">
        <v>4094</v>
      </c>
      <c r="D4817" s="660" t="s">
        <v>1968</v>
      </c>
      <c r="E4817" s="660" t="s">
        <v>4026</v>
      </c>
      <c r="F4817" s="660">
        <f>FLOOR(3.2*0.5*98,0.01)</f>
        <v>156.80000000000001</v>
      </c>
      <c r="G4817" s="661"/>
      <c r="H4817" s="661"/>
    </row>
    <row r="4818" spans="1:8" ht="20.25">
      <c r="B4818" s="488"/>
      <c r="C4818" s="660" t="s">
        <v>1969</v>
      </c>
      <c r="D4818" s="660"/>
      <c r="E4818" s="660" t="s">
        <v>4518</v>
      </c>
      <c r="F4818" s="660">
        <f>0.4*(0.5+0.75)*100</f>
        <v>50</v>
      </c>
      <c r="G4818" s="661"/>
      <c r="H4818" s="661"/>
    </row>
    <row r="4819" spans="1:8" ht="20.25">
      <c r="B4819" s="488"/>
      <c r="D4819" s="488" t="s">
        <v>1970</v>
      </c>
      <c r="F4819" s="1039">
        <f>SUM(F4816:F4818)</f>
        <v>356.8</v>
      </c>
      <c r="G4819" s="661"/>
      <c r="H4819" s="1042"/>
    </row>
    <row r="4820" spans="1:8">
      <c r="B4820"/>
      <c r="D4820" s="662" t="s">
        <v>1971</v>
      </c>
      <c r="F4820" s="1028">
        <f>FLOOR(F4819*0.15,0.01)</f>
        <v>53.52</v>
      </c>
      <c r="G4820"/>
      <c r="H4820"/>
    </row>
    <row r="4821" spans="1:8">
      <c r="B4821"/>
      <c r="C4821"/>
      <c r="D4821" s="664" t="s">
        <v>1973</v>
      </c>
      <c r="F4821" s="1029">
        <f>F4820+F4819</f>
        <v>410.32</v>
      </c>
      <c r="G4821"/>
      <c r="H4821"/>
    </row>
    <row r="4822" spans="1:8">
      <c r="A4822" s="1051" t="s">
        <v>4677</v>
      </c>
    </row>
    <row r="4824" spans="1:8" ht="18">
      <c r="A4824" s="282">
        <f>A4807+1</f>
        <v>320</v>
      </c>
      <c r="B4824" s="1134" t="s">
        <v>2796</v>
      </c>
      <c r="C4824" s="1134"/>
      <c r="D4824" s="1134"/>
      <c r="E4824" s="1134"/>
      <c r="F4824" s="1134"/>
      <c r="G4824" s="1134"/>
      <c r="H4824" s="1134"/>
    </row>
    <row r="4825" spans="1:8" ht="18">
      <c r="A4825" s="688" t="s">
        <v>4370</v>
      </c>
      <c r="B4825" s="1134" t="s">
        <v>4675</v>
      </c>
      <c r="C4825" s="1134"/>
      <c r="D4825" s="1134"/>
      <c r="E4825" s="1134"/>
      <c r="F4825" s="1134"/>
      <c r="G4825" s="1134"/>
      <c r="H4825" s="1134"/>
    </row>
    <row r="4826" spans="1:8">
      <c r="B4826" s="1092" t="s">
        <v>2529</v>
      </c>
      <c r="C4826" s="1092"/>
      <c r="D4826" s="1092"/>
      <c r="E4826" s="1092"/>
      <c r="F4826" s="1092"/>
      <c r="G4826" s="1092"/>
      <c r="H4826" s="1092"/>
    </row>
    <row r="4827" spans="1:8" ht="31.5">
      <c r="B4827" s="70" t="s">
        <v>3340</v>
      </c>
      <c r="C4827" s="70" t="s">
        <v>3341</v>
      </c>
      <c r="D4827" s="70" t="s">
        <v>3342</v>
      </c>
      <c r="E4827" s="70" t="s">
        <v>3343</v>
      </c>
      <c r="F4827" s="70" t="s">
        <v>3344</v>
      </c>
      <c r="G4827" s="70" t="s">
        <v>3345</v>
      </c>
      <c r="H4827" s="70" t="s">
        <v>1704</v>
      </c>
    </row>
    <row r="4828" spans="1:8" ht="15.75">
      <c r="B4828" s="1049" t="s">
        <v>1705</v>
      </c>
      <c r="C4828" s="70" t="s">
        <v>1706</v>
      </c>
      <c r="D4828" s="267">
        <v>0.5</v>
      </c>
      <c r="E4828" s="70" t="s">
        <v>1707</v>
      </c>
      <c r="F4828" s="105">
        <f>'update Rate'!F4</f>
        <v>375</v>
      </c>
      <c r="G4828" s="103">
        <f>FLOOR(D4828*F4828,0.01)</f>
        <v>187.5</v>
      </c>
      <c r="H4828" s="103">
        <f>+G4828</f>
        <v>187.5</v>
      </c>
    </row>
    <row r="4829" spans="1:8" ht="15.75">
      <c r="B4829" s="691" t="s">
        <v>2330</v>
      </c>
      <c r="C4829" s="58" t="s">
        <v>3749</v>
      </c>
      <c r="D4829" s="271">
        <v>5</v>
      </c>
      <c r="E4829" s="58" t="s">
        <v>3750</v>
      </c>
      <c r="F4829" s="126">
        <f>'update Rate'!F508</f>
        <v>0.25</v>
      </c>
      <c r="G4829" s="65">
        <f>FLOOR(D4829*F4829,0.01)</f>
        <v>1.25</v>
      </c>
      <c r="H4829" s="65">
        <f>G4829</f>
        <v>1.25</v>
      </c>
    </row>
    <row r="4830" spans="1:8" ht="15.75">
      <c r="F4830" s="42" t="s">
        <v>1708</v>
      </c>
      <c r="G4830" s="117"/>
      <c r="H4830" s="103">
        <f>SUM(H4828:H4829)</f>
        <v>188.75</v>
      </c>
    </row>
    <row r="4831" spans="1:8" ht="15.75">
      <c r="B4831" s="1" t="s">
        <v>3658</v>
      </c>
      <c r="F4831" s="42" t="s">
        <v>1689</v>
      </c>
      <c r="G4831" s="117"/>
      <c r="H4831" s="103">
        <f>FLOOR(H4830*0.15,0.01)</f>
        <v>28.310000000000002</v>
      </c>
    </row>
    <row r="4832" spans="1:8" ht="15.75">
      <c r="A4832" s="28" t="s">
        <v>3384</v>
      </c>
      <c r="B4832" s="103">
        <f>+H4832</f>
        <v>217.06</v>
      </c>
      <c r="C4832" s="1" t="s">
        <v>3385</v>
      </c>
      <c r="F4832" s="42" t="s">
        <v>1711</v>
      </c>
      <c r="G4832" s="117"/>
      <c r="H4832" s="103">
        <f>SUM(H4830:H4831)</f>
        <v>217.06</v>
      </c>
    </row>
    <row r="4833" spans="4:11" ht="30">
      <c r="D4833" s="1050" t="s">
        <v>4676</v>
      </c>
      <c r="E4833" s="1050"/>
      <c r="F4833" s="1050"/>
      <c r="G4833" s="1050"/>
      <c r="H4833" s="1050"/>
      <c r="I4833" s="1050"/>
      <c r="J4833" s="1050"/>
      <c r="K4833" s="1050"/>
    </row>
    <row r="4834" spans="4:11" ht="29.25">
      <c r="I4834" s="1050"/>
      <c r="J4834" s="1050"/>
      <c r="K4834" s="1050"/>
    </row>
  </sheetData>
  <sheetProtection password="C650" sheet="1" objects="1" scenarios="1"/>
  <mergeCells count="1358">
    <mergeCell ref="B4824:H4824"/>
    <mergeCell ref="B4825:H4825"/>
    <mergeCell ref="B4826:H4826"/>
    <mergeCell ref="B1:H1"/>
    <mergeCell ref="B4719:H4719"/>
    <mergeCell ref="B4733:H4733"/>
    <mergeCell ref="B4744:H4744"/>
    <mergeCell ref="B4756:H4756"/>
    <mergeCell ref="B4767:H4767"/>
    <mergeCell ref="B4779:H4779"/>
    <mergeCell ref="B4789:H4789"/>
    <mergeCell ref="B4488:H4488"/>
    <mergeCell ref="B4489:H4489"/>
    <mergeCell ref="B4499:H4499"/>
    <mergeCell ref="B4500:H4500"/>
    <mergeCell ref="B4501:H4501"/>
    <mergeCell ref="B4502:H4502"/>
    <mergeCell ref="B4511:H4511"/>
    <mergeCell ref="B4512:H4512"/>
    <mergeCell ref="B4513:H4513"/>
    <mergeCell ref="B4514:H4514"/>
    <mergeCell ref="B4522:H4522"/>
    <mergeCell ref="B4523:H4523"/>
    <mergeCell ref="B4524:H4524"/>
    <mergeCell ref="B4525:H4525"/>
    <mergeCell ref="B4533:H4533"/>
    <mergeCell ref="B4534:H4534"/>
    <mergeCell ref="B4535:H4535"/>
    <mergeCell ref="B4765:H4765"/>
    <mergeCell ref="B4766:H4766"/>
    <mergeCell ref="B4618:H4618"/>
    <mergeCell ref="B4605:H4605"/>
    <mergeCell ref="B4606:H4606"/>
    <mergeCell ref="B4594:H4594"/>
    <mergeCell ref="B4604:H4604"/>
    <mergeCell ref="B4435:B4438"/>
    <mergeCell ref="B4430:H4430"/>
    <mergeCell ref="B4485:H4485"/>
    <mergeCell ref="B4486:H4486"/>
    <mergeCell ref="B4487:H4487"/>
    <mergeCell ref="B4453:H4453"/>
    <mergeCell ref="B4457:B4462"/>
    <mergeCell ref="B4468:H4468"/>
    <mergeCell ref="B4475:B4480"/>
    <mergeCell ref="B4452:H4452"/>
    <mergeCell ref="B129:B130"/>
    <mergeCell ref="B4536:H4536"/>
    <mergeCell ref="A4687:H4687"/>
    <mergeCell ref="B4697:H4697"/>
    <mergeCell ref="B4256:B4259"/>
    <mergeCell ref="B4292:B4295"/>
    <mergeCell ref="B4355:H4356"/>
    <mergeCell ref="B4357:H4357"/>
    <mergeCell ref="B3935:B3936"/>
    <mergeCell ref="B3937:B3939"/>
    <mergeCell ref="B4177:H4177"/>
    <mergeCell ref="B3631:H3631"/>
    <mergeCell ref="E3979:E3980"/>
    <mergeCell ref="B3963:H3963"/>
    <mergeCell ref="B3954:B3955"/>
    <mergeCell ref="B3975:H3975"/>
    <mergeCell ref="B4162:H4162"/>
    <mergeCell ref="B3699:B3702"/>
    <mergeCell ref="B3947:H3947"/>
    <mergeCell ref="B3995:H3995"/>
    <mergeCell ref="B3997:B3998"/>
    <mergeCell ref="B4404:B4405"/>
    <mergeCell ref="B4009:B4010"/>
    <mergeCell ref="B4018:H4018"/>
    <mergeCell ref="B4019:H4019"/>
    <mergeCell ref="B4020:H4020"/>
    <mergeCell ref="B4022:B4023"/>
    <mergeCell ref="B4369:H4369"/>
    <mergeCell ref="B4370:H4370"/>
    <mergeCell ref="B4371:H4371"/>
    <mergeCell ref="B4372:H4372"/>
    <mergeCell ref="B4374:B4375"/>
    <mergeCell ref="B4376:B4378"/>
    <mergeCell ref="B4265:H4265"/>
    <mergeCell ref="B4312:H4313"/>
    <mergeCell ref="B4316:B4317"/>
    <mergeCell ref="B4318:B4320"/>
    <mergeCell ref="B4314:H4314"/>
    <mergeCell ref="B4328:H4329"/>
    <mergeCell ref="B4330:H4330"/>
    <mergeCell ref="B4332:B4333"/>
    <mergeCell ref="B4305:H4305"/>
    <mergeCell ref="B4303:H4304"/>
    <mergeCell ref="B4254:B4255"/>
    <mergeCell ref="B4033:H4033"/>
    <mergeCell ref="B3921:H3921"/>
    <mergeCell ref="B4121:H4121"/>
    <mergeCell ref="B4123:B4124"/>
    <mergeCell ref="B4131:H4131"/>
    <mergeCell ref="A4237:H4237"/>
    <mergeCell ref="A1840:H1840"/>
    <mergeCell ref="A1823:H1823"/>
    <mergeCell ref="A1822:H1822"/>
    <mergeCell ref="A1805:H1805"/>
    <mergeCell ref="B4807:H4807"/>
    <mergeCell ref="B3783:H3783"/>
    <mergeCell ref="B3782:H3782"/>
    <mergeCell ref="B3621:B3622"/>
    <mergeCell ref="C3621:C3622"/>
    <mergeCell ref="B3618:H3618"/>
    <mergeCell ref="B3180:B3181"/>
    <mergeCell ref="B2563:H2563"/>
    <mergeCell ref="B2564:H2564"/>
    <mergeCell ref="B2566:B2567"/>
    <mergeCell ref="B3379:B3380"/>
    <mergeCell ref="B3408:B3411"/>
    <mergeCell ref="B3078:B3079"/>
    <mergeCell ref="B3066:B3067"/>
    <mergeCell ref="B3769:H3769"/>
    <mergeCell ref="B4708:H4708"/>
    <mergeCell ref="B4390:B4394"/>
    <mergeCell ref="B4400:H4400"/>
    <mergeCell ref="B4402:H4402"/>
    <mergeCell ref="B4005:H4005"/>
    <mergeCell ref="B4006:H4006"/>
    <mergeCell ref="B4007:H4007"/>
    <mergeCell ref="B3574:H3574"/>
    <mergeCell ref="A1134:H1134"/>
    <mergeCell ref="B4754:H4754"/>
    <mergeCell ref="B4755:H4755"/>
    <mergeCell ref="B4731:H4731"/>
    <mergeCell ref="B4741:H4741"/>
    <mergeCell ref="B4742:H4742"/>
    <mergeCell ref="B1258:H1258"/>
    <mergeCell ref="B2424:H2424"/>
    <mergeCell ref="B2023:H2023"/>
    <mergeCell ref="B2394:H2394"/>
    <mergeCell ref="B2027:B2028"/>
    <mergeCell ref="B2074:H2074"/>
    <mergeCell ref="B2046:B2048"/>
    <mergeCell ref="B2542:H2542"/>
    <mergeCell ref="B2543:H2543"/>
    <mergeCell ref="B2544:H2544"/>
    <mergeCell ref="B2425:H2425"/>
    <mergeCell ref="B2469:H2469"/>
    <mergeCell ref="B4695:H4695"/>
    <mergeCell ref="B4705:H4705"/>
    <mergeCell ref="B2383:B2384"/>
    <mergeCell ref="B2412:B2413"/>
    <mergeCell ref="B2470:H2470"/>
    <mergeCell ref="E3609:E3610"/>
    <mergeCell ref="B3599:B3600"/>
    <mergeCell ref="E2398:E2399"/>
    <mergeCell ref="B2606:B2607"/>
    <mergeCell ref="B3159:H3159"/>
    <mergeCell ref="B3160:H3160"/>
    <mergeCell ref="B3161:H3161"/>
    <mergeCell ref="B3174:H3174"/>
    <mergeCell ref="B3132:H3132"/>
    <mergeCell ref="B17:H17"/>
    <mergeCell ref="B18:H18"/>
    <mergeCell ref="B20:H20"/>
    <mergeCell ref="B44:H44"/>
    <mergeCell ref="B45:H45"/>
    <mergeCell ref="B74:H74"/>
    <mergeCell ref="B1322:H1322"/>
    <mergeCell ref="B1324:B1325"/>
    <mergeCell ref="B1326:B1327"/>
    <mergeCell ref="A1043:H1043"/>
    <mergeCell ref="B4777:H4777"/>
    <mergeCell ref="B4787:H4787"/>
    <mergeCell ref="B4788:H4788"/>
    <mergeCell ref="B4776:H4776"/>
    <mergeCell ref="B4706:H4706"/>
    <mergeCell ref="B4730:H4730"/>
    <mergeCell ref="B4717:H4717"/>
    <mergeCell ref="B4718:H4718"/>
    <mergeCell ref="B4696:H4696"/>
    <mergeCell ref="B1691:B1692"/>
    <mergeCell ref="B1693:B1700"/>
    <mergeCell ref="B89:B90"/>
    <mergeCell ref="B2103:H2103"/>
    <mergeCell ref="B2120:H2120"/>
    <mergeCell ref="B2100:H2100"/>
    <mergeCell ref="B2396:B2397"/>
    <mergeCell ref="C2385:C2386"/>
    <mergeCell ref="E2385:E2386"/>
    <mergeCell ref="B2368:B2369"/>
    <mergeCell ref="B2370:B2371"/>
    <mergeCell ref="B3993:H3993"/>
    <mergeCell ref="B3994:H3994"/>
    <mergeCell ref="B3576:B3577"/>
    <mergeCell ref="C3576:C3577"/>
    <mergeCell ref="E3576:E3577"/>
    <mergeCell ref="B2712:H2712"/>
    <mergeCell ref="B3553:B3554"/>
    <mergeCell ref="B4469:H4469"/>
    <mergeCell ref="B4470:H4470"/>
    <mergeCell ref="B4471:H4471"/>
    <mergeCell ref="B4450:H4450"/>
    <mergeCell ref="B4451:H4451"/>
    <mergeCell ref="B4150:B4152"/>
    <mergeCell ref="B4385:H4385"/>
    <mergeCell ref="B4386:H4386"/>
    <mergeCell ref="B4388:B4389"/>
    <mergeCell ref="B2771:H2771"/>
    <mergeCell ref="B2774:B2775"/>
    <mergeCell ref="B2859:H2859"/>
    <mergeCell ref="B3136:B3137"/>
    <mergeCell ref="B2919:H2919"/>
    <mergeCell ref="B2864:B2865"/>
    <mergeCell ref="B2931:H2931"/>
    <mergeCell ref="B3147:H3147"/>
    <mergeCell ref="B3106:B3107"/>
    <mergeCell ref="B3090:H3090"/>
    <mergeCell ref="D3952:D3953"/>
    <mergeCell ref="E3952:E3953"/>
    <mergeCell ref="B3950:H3950"/>
    <mergeCell ref="B3949:H3949"/>
    <mergeCell ref="B3948:H3948"/>
    <mergeCell ref="B3923:B3924"/>
    <mergeCell ref="B3920:H3920"/>
    <mergeCell ref="B2880:B2881"/>
    <mergeCell ref="B4686:H4686"/>
    <mergeCell ref="B3362:H3362"/>
    <mergeCell ref="B3647:H3647"/>
    <mergeCell ref="B3584:H3584"/>
    <mergeCell ref="B3586:B3587"/>
    <mergeCell ref="B3808:H3808"/>
    <mergeCell ref="B4343:H4344"/>
    <mergeCell ref="B4345:H4345"/>
    <mergeCell ref="B4347:B4348"/>
    <mergeCell ref="B3932:H3932"/>
    <mergeCell ref="B4178:H4178"/>
    <mergeCell ref="B3796:H3796"/>
    <mergeCell ref="B3797:H3797"/>
    <mergeCell ref="B3799:H3799"/>
    <mergeCell ref="B4175:H4175"/>
    <mergeCell ref="B4176:H4176"/>
    <mergeCell ref="B4210:H4210"/>
    <mergeCell ref="B4211:H4211"/>
    <mergeCell ref="B4252:H4252"/>
    <mergeCell ref="B3583:H3583"/>
    <mergeCell ref="B3432:H3432"/>
    <mergeCell ref="B3697:B3698"/>
    <mergeCell ref="B3694:H3694"/>
    <mergeCell ref="B3404:H3404"/>
    <mergeCell ref="B3507:B3508"/>
    <mergeCell ref="B3784:H3784"/>
    <mergeCell ref="E3599:E3600"/>
    <mergeCell ref="B3606:H3606"/>
    <mergeCell ref="B3607:H3607"/>
    <mergeCell ref="B3751:H3751"/>
    <mergeCell ref="B3597:H3597"/>
    <mergeCell ref="B3573:H3573"/>
    <mergeCell ref="B2686:B2687"/>
    <mergeCell ref="B2688:B2691"/>
    <mergeCell ref="B2786:H2786"/>
    <mergeCell ref="B2427:B2428"/>
    <mergeCell ref="B2429:B2430"/>
    <mergeCell ref="C2474:C2475"/>
    <mergeCell ref="B3052:B3053"/>
    <mergeCell ref="B2337:B2338"/>
    <mergeCell ref="B2322:B2323"/>
    <mergeCell ref="B2152:B2158"/>
    <mergeCell ref="B2260:H2260"/>
    <mergeCell ref="B2198:H2198"/>
    <mergeCell ref="B2199:H2199"/>
    <mergeCell ref="B2319:H2319"/>
    <mergeCell ref="B2291:H2291"/>
    <mergeCell ref="B2292:H2292"/>
    <mergeCell ref="B2294:B2295"/>
    <mergeCell ref="B2296:B2298"/>
    <mergeCell ref="B2623:H2623"/>
    <mergeCell ref="B2518:B2519"/>
    <mergeCell ref="B2520:B2522"/>
    <mergeCell ref="B2348:H2348"/>
    <mergeCell ref="B2351:B2352"/>
    <mergeCell ref="B2442:B2444"/>
    <mergeCell ref="B2452:H2452"/>
    <mergeCell ref="B2408:H2408"/>
    <mergeCell ref="B2516:H2516"/>
    <mergeCell ref="B2862:B2863"/>
    <mergeCell ref="C2398:C2399"/>
    <mergeCell ref="B1940:B1941"/>
    <mergeCell ref="B1942:B1948"/>
    <mergeCell ref="B2334:H2334"/>
    <mergeCell ref="B2346:H2346"/>
    <mergeCell ref="B2304:H2304"/>
    <mergeCell ref="B2101:H2101"/>
    <mergeCell ref="B2484:B2485"/>
    <mergeCell ref="B2436:H2436"/>
    <mergeCell ref="B2437:H2437"/>
    <mergeCell ref="B2439:B2441"/>
    <mergeCell ref="H2439:H2441"/>
    <mergeCell ref="B2482:H2482"/>
    <mergeCell ref="B2756:H2756"/>
    <mergeCell ref="B2834:B2836"/>
    <mergeCell ref="H2455:H2457"/>
    <mergeCell ref="B2703:B2704"/>
    <mergeCell ref="B2700:H2700"/>
    <mergeCell ref="B2701:H2701"/>
    <mergeCell ref="B2105:B2106"/>
    <mergeCell ref="B2423:H2423"/>
    <mergeCell ref="B2309:B2310"/>
    <mergeCell ref="B2225:H2225"/>
    <mergeCell ref="B2242:H2242"/>
    <mergeCell ref="B2258:H2258"/>
    <mergeCell ref="B2259:H2259"/>
    <mergeCell ref="B2040:H2040"/>
    <mergeCell ref="B2755:H2755"/>
    <mergeCell ref="B2672:B2673"/>
    <mergeCell ref="B2682:H2682"/>
    <mergeCell ref="B2683:H2683"/>
    <mergeCell ref="B3931:H3931"/>
    <mergeCell ref="B2472:B2473"/>
    <mergeCell ref="B2474:B2475"/>
    <mergeCell ref="E2474:E2475"/>
    <mergeCell ref="B2407:H2407"/>
    <mergeCell ref="B2365:H2365"/>
    <mergeCell ref="B1880:B1881"/>
    <mergeCell ref="B1882:B1890"/>
    <mergeCell ref="B1852:H1852"/>
    <mergeCell ref="B2582:B2585"/>
    <mergeCell ref="B2591:H2591"/>
    <mergeCell ref="B2592:H2592"/>
    <mergeCell ref="B2622:H2622"/>
    <mergeCell ref="B3547:H3547"/>
    <mergeCell ref="B3548:H3548"/>
    <mergeCell ref="B3771:B3772"/>
    <mergeCell ref="B3773:B3776"/>
    <mergeCell ref="B3752:H3752"/>
    <mergeCell ref="B3108:B3109"/>
    <mergeCell ref="B3821:H3821"/>
    <mergeCell ref="B3830:H3830"/>
    <mergeCell ref="B3831:H3831"/>
    <mergeCell ref="B3841:H3841"/>
    <mergeCell ref="B3842:H3842"/>
    <mergeCell ref="B2213:H2213"/>
    <mergeCell ref="B2226:H2226"/>
    <mergeCell ref="B2608:B2614"/>
    <mergeCell ref="B1996:H1996"/>
    <mergeCell ref="B1997:H1997"/>
    <mergeCell ref="B3035:H3035"/>
    <mergeCell ref="B1858:B1867"/>
    <mergeCell ref="B1876:H1876"/>
    <mergeCell ref="B2921:B2922"/>
    <mergeCell ref="B2860:H2860"/>
    <mergeCell ref="B2730:B2731"/>
    <mergeCell ref="B2789:B2790"/>
    <mergeCell ref="B2791:B2792"/>
    <mergeCell ref="B2887:H2887"/>
    <mergeCell ref="B1088:H1088"/>
    <mergeCell ref="B1051:H1051"/>
    <mergeCell ref="B1052:H1052"/>
    <mergeCell ref="B1053:H1053"/>
    <mergeCell ref="B1073:H1073"/>
    <mergeCell ref="A1087:H1087"/>
    <mergeCell ref="B2846:B2847"/>
    <mergeCell ref="B2848:B2850"/>
    <mergeCell ref="B3025:B3026"/>
    <mergeCell ref="B1673:B1674"/>
    <mergeCell ref="B1675:B1681"/>
    <mergeCell ref="B2844:H2844"/>
    <mergeCell ref="B2830:H2830"/>
    <mergeCell ref="B2832:B2833"/>
    <mergeCell ref="B3021:H3021"/>
    <mergeCell ref="B3009:H3009"/>
    <mergeCell ref="B3023:B3024"/>
    <mergeCell ref="B3008:H3008"/>
    <mergeCell ref="B2828:H2828"/>
    <mergeCell ref="B2829:H2829"/>
    <mergeCell ref="B1122:B1125"/>
    <mergeCell ref="B1628:H1628"/>
    <mergeCell ref="B1614:B1620"/>
    <mergeCell ref="B1590:B1591"/>
    <mergeCell ref="B1592:B1597"/>
    <mergeCell ref="B1829:B1832"/>
    <mergeCell ref="B2814:H2814"/>
    <mergeCell ref="B2577:H2577"/>
    <mergeCell ref="B2578:H2578"/>
    <mergeCell ref="B2204:B2206"/>
    <mergeCell ref="B2200:H2200"/>
    <mergeCell ref="B2276:H2276"/>
    <mergeCell ref="B2264:B2266"/>
    <mergeCell ref="B2843:H2843"/>
    <mergeCell ref="B2580:B2581"/>
    <mergeCell ref="B2274:H2274"/>
    <mergeCell ref="B2229:B2230"/>
    <mergeCell ref="B2398:B2399"/>
    <mergeCell ref="B2602:H2602"/>
    <mergeCell ref="B2121:H2121"/>
    <mergeCell ref="B2122:H2122"/>
    <mergeCell ref="B2497:H2497"/>
    <mergeCell ref="B2498:H2498"/>
    <mergeCell ref="B2533:B2535"/>
    <mergeCell ref="B2515:H2515"/>
    <mergeCell ref="B2481:H2481"/>
    <mergeCell ref="B2486:B2488"/>
    <mergeCell ref="B2366:H2366"/>
    <mergeCell ref="B2603:H2603"/>
    <mergeCell ref="C2412:C2413"/>
    <mergeCell ref="B2744:H2744"/>
    <mergeCell ref="B2732:B2733"/>
    <mergeCell ref="B2385:B2386"/>
    <mergeCell ref="B2528:H2528"/>
    <mergeCell ref="B2529:H2529"/>
    <mergeCell ref="B2531:B2532"/>
    <mergeCell ref="B2381:H2381"/>
    <mergeCell ref="B2684:H2684"/>
    <mergeCell ref="B3646:H3646"/>
    <mergeCell ref="B1707:H1707"/>
    <mergeCell ref="B1709:B1710"/>
    <mergeCell ref="B1722:B1723"/>
    <mergeCell ref="B1792:H1792"/>
    <mergeCell ref="B3740:B3743"/>
    <mergeCell ref="B2275:H2275"/>
    <mergeCell ref="B2202:B2203"/>
    <mergeCell ref="B2241:H2241"/>
    <mergeCell ref="B2075:H2075"/>
    <mergeCell ref="B2076:H2076"/>
    <mergeCell ref="B2818:B2819"/>
    <mergeCell ref="B3011:B3012"/>
    <mergeCell ref="B2568:B2570"/>
    <mergeCell ref="B2010:H2010"/>
    <mergeCell ref="B2339:B2340"/>
    <mergeCell ref="B2059:H2059"/>
    <mergeCell ref="B1980:B1986"/>
    <mergeCell ref="B1995:H1995"/>
    <mergeCell ref="B2146:H2146"/>
    <mergeCell ref="B1976:H1976"/>
    <mergeCell ref="B2455:B2457"/>
    <mergeCell ref="B2335:H2335"/>
    <mergeCell ref="B2353:B2355"/>
    <mergeCell ref="B2001:B2003"/>
    <mergeCell ref="B3200:H3200"/>
    <mergeCell ref="B3176:H3176"/>
    <mergeCell ref="B2798:H2798"/>
    <mergeCell ref="B2770:H2770"/>
    <mergeCell ref="B2364:H2364"/>
    <mergeCell ref="B3076:H3076"/>
    <mergeCell ref="B3013:B3014"/>
    <mergeCell ref="B3532:H3532"/>
    <mergeCell ref="B1427:H1427"/>
    <mergeCell ref="B1431:B1434"/>
    <mergeCell ref="B1448:B1449"/>
    <mergeCell ref="B3091:H3091"/>
    <mergeCell ref="B3061:H3061"/>
    <mergeCell ref="B1775:H1775"/>
    <mergeCell ref="B3054:B3055"/>
    <mergeCell ref="B3062:H3062"/>
    <mergeCell ref="B3178:B3179"/>
    <mergeCell ref="B2393:H2393"/>
    <mergeCell ref="B2713:H2713"/>
    <mergeCell ref="B3363:H3363"/>
    <mergeCell ref="B3365:B3366"/>
    <mergeCell ref="B3376:H3376"/>
    <mergeCell ref="B3433:H3433"/>
    <mergeCell ref="B2123:H2123"/>
    <mergeCell ref="B2989:H2989"/>
    <mergeCell ref="B3138:B3139"/>
    <mergeCell ref="D3122:D3123"/>
    <mergeCell ref="B3117:H3117"/>
    <mergeCell ref="B3118:H3118"/>
    <mergeCell ref="H3122:H3123"/>
    <mergeCell ref="B2320:H2320"/>
    <mergeCell ref="B2307:B2308"/>
    <mergeCell ref="B2604:H2604"/>
    <mergeCell ref="B1796:B1799"/>
    <mergeCell ref="B1653:H1653"/>
    <mergeCell ref="B2247:B2251"/>
    <mergeCell ref="B2453:H2453"/>
    <mergeCell ref="E2412:E2413"/>
    <mergeCell ref="B2410:B2411"/>
    <mergeCell ref="B2147:H2147"/>
    <mergeCell ref="B1978:B1979"/>
    <mergeCell ref="B1766:B1768"/>
    <mergeCell ref="B1824:H1824"/>
    <mergeCell ref="B1825:H1825"/>
    <mergeCell ref="B2125:B2126"/>
    <mergeCell ref="B1528:H1528"/>
    <mergeCell ref="B1444:H1444"/>
    <mergeCell ref="B1471:H1471"/>
    <mergeCell ref="B1920:H1920"/>
    <mergeCell ref="B1348:H1348"/>
    <mergeCell ref="B1350:B1351"/>
    <mergeCell ref="B1670:H1670"/>
    <mergeCell ref="B1671:H1671"/>
    <mergeCell ref="B2011:H2011"/>
    <mergeCell ref="B2012:H2012"/>
    <mergeCell ref="B1352:B1355"/>
    <mergeCell ref="B1959:H1959"/>
    <mergeCell ref="B1842:H1842"/>
    <mergeCell ref="B2080:B2089"/>
    <mergeCell ref="B2:H2"/>
    <mergeCell ref="B3:H3"/>
    <mergeCell ref="B522:H522"/>
    <mergeCell ref="D509:E509"/>
    <mergeCell ref="B459:H459"/>
    <mergeCell ref="B374:H374"/>
    <mergeCell ref="D468:E468"/>
    <mergeCell ref="B147:H147"/>
    <mergeCell ref="B157:H157"/>
    <mergeCell ref="B158:H158"/>
    <mergeCell ref="B2231:B2233"/>
    <mergeCell ref="B2262:B2263"/>
    <mergeCell ref="B2187:B2191"/>
    <mergeCell ref="B75:H75"/>
    <mergeCell ref="B1167:B1168"/>
    <mergeCell ref="B2245:B2246"/>
    <mergeCell ref="B2212:H2212"/>
    <mergeCell ref="B2102:H2102"/>
    <mergeCell ref="B1807:H1807"/>
    <mergeCell ref="B1921:H1921"/>
    <mergeCell ref="B1895:H1895"/>
    <mergeCell ref="B1896:H1896"/>
    <mergeCell ref="B1899:B1900"/>
    <mergeCell ref="B1901:B1909"/>
    <mergeCell ref="B1706:H1706"/>
    <mergeCell ref="B1854:H1854"/>
    <mergeCell ref="B2167:H2167"/>
    <mergeCell ref="B2150:B2151"/>
    <mergeCell ref="B1632:B1637"/>
    <mergeCell ref="B1853:H1853"/>
    <mergeCell ref="B1735:H1735"/>
    <mergeCell ref="B1526:H1526"/>
    <mergeCell ref="B2380:H2380"/>
    <mergeCell ref="B1630:B1631"/>
    <mergeCell ref="B1570:H1570"/>
    <mergeCell ref="B1546:H1546"/>
    <mergeCell ref="B1550:B1555"/>
    <mergeCell ref="B2217:B2218"/>
    <mergeCell ref="B2347:H2347"/>
    <mergeCell ref="B2324:B2325"/>
    <mergeCell ref="B2280:B2282"/>
    <mergeCell ref="B2168:H2168"/>
    <mergeCell ref="B2240:H2240"/>
    <mergeCell ref="B2061:B2062"/>
    <mergeCell ref="B2072:H2072"/>
    <mergeCell ref="B2073:H2073"/>
    <mergeCell ref="B2025:H2025"/>
    <mergeCell ref="B2042:H2042"/>
    <mergeCell ref="B2278:B2279"/>
    <mergeCell ref="B2305:H2305"/>
    <mergeCell ref="B1586:H1586"/>
    <mergeCell ref="B2078:B2079"/>
    <mergeCell ref="B1669:H1669"/>
    <mergeCell ref="B1568:H1568"/>
    <mergeCell ref="B1569:H1569"/>
    <mergeCell ref="B1612:B1613"/>
    <mergeCell ref="B1626:H1626"/>
    <mergeCell ref="B1652:H1652"/>
    <mergeCell ref="B1897:H1897"/>
    <mergeCell ref="B2148:H2148"/>
    <mergeCell ref="B2057:H2057"/>
    <mergeCell ref="B2058:H2058"/>
    <mergeCell ref="B2044:B2045"/>
    <mergeCell ref="B1776:H1776"/>
    <mergeCell ref="B2041:H2041"/>
    <mergeCell ref="B2024:H2024"/>
    <mergeCell ref="B1841:H1841"/>
    <mergeCell ref="B1856:B1857"/>
    <mergeCell ref="B1937:H1937"/>
    <mergeCell ref="B1961:B1962"/>
    <mergeCell ref="B1975:H1975"/>
    <mergeCell ref="B2016:B2018"/>
    <mergeCell ref="B2029:B2031"/>
    <mergeCell ref="B1588:H1588"/>
    <mergeCell ref="B1808:H1808"/>
    <mergeCell ref="B1827:B1828"/>
    <mergeCell ref="B2107:B2114"/>
    <mergeCell ref="B1810:B1811"/>
    <mergeCell ref="B1812:B1815"/>
    <mergeCell ref="B1877:H1877"/>
    <mergeCell ref="B1878:H1878"/>
    <mergeCell ref="B2063:B2065"/>
    <mergeCell ref="B1923:B1924"/>
    <mergeCell ref="B1925:B1931"/>
    <mergeCell ref="B1608:H1608"/>
    <mergeCell ref="B1609:H1609"/>
    <mergeCell ref="B1544:H1544"/>
    <mergeCell ref="B1574:B1579"/>
    <mergeCell ref="B1627:H1627"/>
    <mergeCell ref="B1587:H1587"/>
    <mergeCell ref="B1794:B1795"/>
    <mergeCell ref="B1790:H1790"/>
    <mergeCell ref="B1687:H1687"/>
    <mergeCell ref="B1688:H1688"/>
    <mergeCell ref="B1689:H1689"/>
    <mergeCell ref="B1739:B1741"/>
    <mergeCell ref="B1545:H1545"/>
    <mergeCell ref="B1761:H1761"/>
    <mergeCell ref="B1719:H1719"/>
    <mergeCell ref="B1515:B1516"/>
    <mergeCell ref="B1720:H1720"/>
    <mergeCell ref="B1655:B1656"/>
    <mergeCell ref="B1777:H1777"/>
    <mergeCell ref="B1781:B1783"/>
    <mergeCell ref="B1791:H1791"/>
    <mergeCell ref="B1749:H1749"/>
    <mergeCell ref="B1651:H1651"/>
    <mergeCell ref="B1711:B1713"/>
    <mergeCell ref="B1527:H1527"/>
    <mergeCell ref="B1530:B1531"/>
    <mergeCell ref="B1517:B1519"/>
    <mergeCell ref="B1476:B1477"/>
    <mergeCell ref="B1513:H1513"/>
    <mergeCell ref="B1384:H1384"/>
    <mergeCell ref="B1490:B1491"/>
    <mergeCell ref="B1486:H1486"/>
    <mergeCell ref="B1365:H1365"/>
    <mergeCell ref="B1366:H1366"/>
    <mergeCell ref="B1367:H1367"/>
    <mergeCell ref="B1369:B1370"/>
    <mergeCell ref="B1371:B1374"/>
    <mergeCell ref="B1454:H1454"/>
    <mergeCell ref="B1455:H1455"/>
    <mergeCell ref="B1456:H1456"/>
    <mergeCell ref="B1460:B1463"/>
    <mergeCell ref="B1498:H1498"/>
    <mergeCell ref="B1503:B1505"/>
    <mergeCell ref="B1425:H1425"/>
    <mergeCell ref="B1443:H1443"/>
    <mergeCell ref="B1426:H1426"/>
    <mergeCell ref="B1417:B1419"/>
    <mergeCell ref="B1385:H1385"/>
    <mergeCell ref="B1387:B1388"/>
    <mergeCell ref="B1398:H1398"/>
    <mergeCell ref="B1401:B1402"/>
    <mergeCell ref="B1415:B1416"/>
    <mergeCell ref="B1403:B1405"/>
    <mergeCell ref="B1413:H1413"/>
    <mergeCell ref="B1485:H1485"/>
    <mergeCell ref="B1412:H1412"/>
    <mergeCell ref="B1499:H1499"/>
    <mergeCell ref="B925:H925"/>
    <mergeCell ref="B926:H926"/>
    <mergeCell ref="B927:H927"/>
    <mergeCell ref="B929:B930"/>
    <mergeCell ref="B931:B938"/>
    <mergeCell ref="B939:B940"/>
    <mergeCell ref="B951:H951"/>
    <mergeCell ref="B952:H952"/>
    <mergeCell ref="B953:H953"/>
    <mergeCell ref="B955:B956"/>
    <mergeCell ref="B905:H905"/>
    <mergeCell ref="B906:H906"/>
    <mergeCell ref="B907:H907"/>
    <mergeCell ref="B909:B910"/>
    <mergeCell ref="B911:B917"/>
    <mergeCell ref="B1347:H1347"/>
    <mergeCell ref="B1294:B1297"/>
    <mergeCell ref="B1310:B1311"/>
    <mergeCell ref="B1320:H1320"/>
    <mergeCell ref="B1308:B1309"/>
    <mergeCell ref="B1278:B1281"/>
    <mergeCell ref="B1288:H1288"/>
    <mergeCell ref="A1115:H1115"/>
    <mergeCell ref="B1035:B1038"/>
    <mergeCell ref="B1057:B1058"/>
    <mergeCell ref="B1089:H1089"/>
    <mergeCell ref="B1074:H1074"/>
    <mergeCell ref="B1075:H1075"/>
    <mergeCell ref="B1210:H1210"/>
    <mergeCell ref="B1272:H1272"/>
    <mergeCell ref="B1273:H1273"/>
    <mergeCell ref="B1215:B1218"/>
    <mergeCell ref="B1211:H1211"/>
    <mergeCell ref="B1178:H1178"/>
    <mergeCell ref="B1346:H1346"/>
    <mergeCell ref="B1274:H1274"/>
    <mergeCell ref="B1224:H1224"/>
    <mergeCell ref="B1225:H1225"/>
    <mergeCell ref="B1259:H1259"/>
    <mergeCell ref="B1260:H1260"/>
    <mergeCell ref="B1262:B1263"/>
    <mergeCell ref="B1264:B1267"/>
    <mergeCell ref="B725:H725"/>
    <mergeCell ref="B755:H755"/>
    <mergeCell ref="B1014:B1015"/>
    <mergeCell ref="B745:B746"/>
    <mergeCell ref="B757:H757"/>
    <mergeCell ref="B747:B751"/>
    <mergeCell ref="B758:H758"/>
    <mergeCell ref="B762:B767"/>
    <mergeCell ref="B777:H777"/>
    <mergeCell ref="B760:B761"/>
    <mergeCell ref="B794:H794"/>
    <mergeCell ref="B795:H795"/>
    <mergeCell ref="B1001:B1002"/>
    <mergeCell ref="B1196:B1197"/>
    <mergeCell ref="B1198:B1201"/>
    <mergeCell ref="B801:B805"/>
    <mergeCell ref="B726:H726"/>
    <mergeCell ref="B833:H833"/>
    <mergeCell ref="B838:B839"/>
    <mergeCell ref="B819:H819"/>
    <mergeCell ref="B983:H983"/>
    <mergeCell ref="B1226:H1226"/>
    <mergeCell ref="B188:H188"/>
    <mergeCell ref="B189:H189"/>
    <mergeCell ref="B316:H316"/>
    <mergeCell ref="B246:H246"/>
    <mergeCell ref="B288:H288"/>
    <mergeCell ref="B559:H559"/>
    <mergeCell ref="B440:H440"/>
    <mergeCell ref="B502:B504"/>
    <mergeCell ref="B542:H542"/>
    <mergeCell ref="B539:H539"/>
    <mergeCell ref="B731:B735"/>
    <mergeCell ref="B627:B631"/>
    <mergeCell ref="B636:H636"/>
    <mergeCell ref="B975:B976"/>
    <mergeCell ref="B621:H621"/>
    <mergeCell ref="B623:H623"/>
    <mergeCell ref="B606:H606"/>
    <mergeCell ref="B840:B846"/>
    <mergeCell ref="B847:B848"/>
    <mergeCell ref="B859:H859"/>
    <mergeCell ref="B860:H860"/>
    <mergeCell ref="B861:H861"/>
    <mergeCell ref="B862:H862"/>
    <mergeCell ref="B864:B865"/>
    <mergeCell ref="B866:B872"/>
    <mergeCell ref="B873:B874"/>
    <mergeCell ref="B879:H879"/>
    <mergeCell ref="B880:H880"/>
    <mergeCell ref="B881:H881"/>
    <mergeCell ref="B882:H882"/>
    <mergeCell ref="B965:H965"/>
    <mergeCell ref="B967:B968"/>
    <mergeCell ref="B47:H47"/>
    <mergeCell ref="B60:H60"/>
    <mergeCell ref="B402:H402"/>
    <mergeCell ref="B85:H85"/>
    <mergeCell ref="B86:H86"/>
    <mergeCell ref="B109:B110"/>
    <mergeCell ref="B121:H121"/>
    <mergeCell ref="B122:H122"/>
    <mergeCell ref="B123:H123"/>
    <mergeCell ref="B125:B128"/>
    <mergeCell ref="B172:H172"/>
    <mergeCell ref="C177:F177"/>
    <mergeCell ref="B192:B193"/>
    <mergeCell ref="B210:H210"/>
    <mergeCell ref="B211:H211"/>
    <mergeCell ref="B289:H289"/>
    <mergeCell ref="B290:H290"/>
    <mergeCell ref="B314:H314"/>
    <mergeCell ref="B76:H76"/>
    <mergeCell ref="B215:B216"/>
    <mergeCell ref="B222:H222"/>
    <mergeCell ref="B400:H400"/>
    <mergeCell ref="B212:H212"/>
    <mergeCell ref="B106:H106"/>
    <mergeCell ref="B61:H61"/>
    <mergeCell ref="B105:H105"/>
    <mergeCell ref="B159:H159"/>
    <mergeCell ref="B234:H234"/>
    <mergeCell ref="B233:H233"/>
    <mergeCell ref="C162:F162"/>
    <mergeCell ref="B245:H245"/>
    <mergeCell ref="B173:H173"/>
    <mergeCell ref="B1321:H1321"/>
    <mergeCell ref="B3231:B3232"/>
    <mergeCell ref="B145:H145"/>
    <mergeCell ref="B683:H683"/>
    <mergeCell ref="B666:H666"/>
    <mergeCell ref="B741:H741"/>
    <mergeCell ref="B1737:B1738"/>
    <mergeCell ref="B1734:H1734"/>
    <mergeCell ref="B2170:B2171"/>
    <mergeCell ref="B2172:B2175"/>
    <mergeCell ref="B2182:H2182"/>
    <mergeCell ref="B1750:H1750"/>
    <mergeCell ref="B1213:B1214"/>
    <mergeCell ref="B1116:H1116"/>
    <mergeCell ref="B1193:H1193"/>
    <mergeCell ref="B1228:B1229"/>
    <mergeCell ref="B1169:B1171"/>
    <mergeCell ref="B622:H622"/>
    <mergeCell ref="B525:H525"/>
    <mergeCell ref="D492:E492"/>
    <mergeCell ref="D590:E590"/>
    <mergeCell ref="B564:B566"/>
    <mergeCell ref="B587:B589"/>
    <mergeCell ref="B604:H604"/>
    <mergeCell ref="B568:B572"/>
    <mergeCell ref="B657:B658"/>
    <mergeCell ref="B643:B647"/>
    <mergeCell ref="B608:B609"/>
    <mergeCell ref="B625:B626"/>
    <mergeCell ref="B724:H724"/>
    <mergeCell ref="B544:B546"/>
    <mergeCell ref="B541:H541"/>
    <mergeCell ref="B292:B294"/>
    <mergeCell ref="B295:B298"/>
    <mergeCell ref="B287:H287"/>
    <mergeCell ref="B332:H332"/>
    <mergeCell ref="B333:H333"/>
    <mergeCell ref="B111:B114"/>
    <mergeCell ref="B655:H655"/>
    <mergeCell ref="B711:H711"/>
    <mergeCell ref="B700:H700"/>
    <mergeCell ref="B710:H710"/>
    <mergeCell ref="B713:B714"/>
    <mergeCell ref="B715:B718"/>
    <mergeCell ref="D451:E451"/>
    <mergeCell ref="B416:H416"/>
    <mergeCell ref="B524:H524"/>
    <mergeCell ref="B523:H523"/>
    <mergeCell ref="B620:H620"/>
    <mergeCell ref="B357:H357"/>
    <mergeCell ref="B603:H603"/>
    <mergeCell ref="B610:B614"/>
    <mergeCell ref="B605:H605"/>
    <mergeCell ref="B481:H481"/>
    <mergeCell ref="B578:H578"/>
    <mergeCell ref="B579:H579"/>
    <mergeCell ref="B580:H580"/>
    <mergeCell ref="B668:H668"/>
    <mergeCell ref="B672:B675"/>
    <mergeCell ref="B670:B671"/>
    <mergeCell ref="B174:H174"/>
    <mergeCell ref="B200:H200"/>
    <mergeCell ref="B201:H201"/>
    <mergeCell ref="B187:H187"/>
    <mergeCell ref="B561:H561"/>
    <mergeCell ref="B639:H639"/>
    <mergeCell ref="B256:H256"/>
    <mergeCell ref="B266:H266"/>
    <mergeCell ref="B267:H267"/>
    <mergeCell ref="B277:H277"/>
    <mergeCell ref="B278:H278"/>
    <mergeCell ref="B701:H701"/>
    <mergeCell ref="B884:B885"/>
    <mergeCell ref="B401:H401"/>
    <mergeCell ref="B379:B381"/>
    <mergeCell ref="B375:H375"/>
    <mergeCell ref="B377:H377"/>
    <mergeCell ref="B482:H482"/>
    <mergeCell ref="B407:B410"/>
    <mergeCell ref="B818:H818"/>
    <mergeCell ref="B499:H499"/>
    <mergeCell ref="B500:H500"/>
    <mergeCell ref="B540:H540"/>
    <mergeCell ref="B652:H652"/>
    <mergeCell ref="D573:E573"/>
    <mergeCell ref="B315:H315"/>
    <mergeCell ref="B637:H637"/>
    <mergeCell ref="B638:H638"/>
    <mergeCell ref="B729:B730"/>
    <mergeCell ref="B688:B691"/>
    <mergeCell ref="B686:B687"/>
    <mergeCell ref="B727:H727"/>
    <mergeCell ref="B360:H360"/>
    <mergeCell ref="B562:H562"/>
    <mergeCell ref="B682:H682"/>
    <mergeCell ref="B704:B705"/>
    <mergeCell ref="B742:H742"/>
    <mergeCell ref="B918:B919"/>
    <mergeCell ref="B358:H358"/>
    <mergeCell ref="B132:B133"/>
    <mergeCell ref="B359:H359"/>
    <mergeCell ref="B317:H317"/>
    <mergeCell ref="B319:B321"/>
    <mergeCell ref="B322:B325"/>
    <mergeCell ref="B337:B339"/>
    <mergeCell ref="B583:B585"/>
    <mergeCell ref="B699:H699"/>
    <mergeCell ref="B581:H581"/>
    <mergeCell ref="B417:H417"/>
    <mergeCell ref="B421:B423"/>
    <mergeCell ref="B817:H817"/>
    <mergeCell ref="B1030:H1030"/>
    <mergeCell ref="B458:H458"/>
    <mergeCell ref="B439:H439"/>
    <mergeCell ref="B418:H418"/>
    <mergeCell ref="B419:H419"/>
    <mergeCell ref="D428:E428"/>
    <mergeCell ref="B442:H442"/>
    <mergeCell ref="B362:B364"/>
    <mergeCell ref="B365:B367"/>
    <mergeCell ref="B335:H335"/>
    <mergeCell ref="B982:H982"/>
    <mergeCell ref="B1012:H1012"/>
    <mergeCell ref="B1010:H1010"/>
    <mergeCell ref="B994:H994"/>
    <mergeCell ref="B223:H223"/>
    <mergeCell ref="B224:H224"/>
    <mergeCell ref="B255:H255"/>
    <mergeCell ref="B1050:H1050"/>
    <mergeCell ref="A1132:H1132"/>
    <mergeCell ref="A1130:H1130"/>
    <mergeCell ref="B1016:B1017"/>
    <mergeCell ref="B1029:H1029"/>
    <mergeCell ref="B1079:B1080"/>
    <mergeCell ref="A1105:H1105"/>
    <mergeCell ref="A1103:H1103"/>
    <mergeCell ref="B986:B987"/>
    <mergeCell ref="B1009:H1009"/>
    <mergeCell ref="B886:B892"/>
    <mergeCell ref="B893:B894"/>
    <mergeCell ref="B904:H904"/>
    <mergeCell ref="B984:H984"/>
    <mergeCell ref="B778:H778"/>
    <mergeCell ref="B756:H756"/>
    <mergeCell ref="B743:H743"/>
    <mergeCell ref="B820:H820"/>
    <mergeCell ref="B824:B828"/>
    <mergeCell ref="B1072:H1072"/>
    <mergeCell ref="B1077:B1078"/>
    <mergeCell ref="B1055:B1056"/>
    <mergeCell ref="B796:H796"/>
    <mergeCell ref="B779:H779"/>
    <mergeCell ref="A1101:H1101"/>
    <mergeCell ref="B1031:H1031"/>
    <mergeCell ref="B1033:B1034"/>
    <mergeCell ref="B834:H834"/>
    <mergeCell ref="B835:H835"/>
    <mergeCell ref="B836:H836"/>
    <mergeCell ref="B969:B974"/>
    <mergeCell ref="B924:H924"/>
    <mergeCell ref="B709:H709"/>
    <mergeCell ref="B780:H780"/>
    <mergeCell ref="B799:B800"/>
    <mergeCell ref="B797:H797"/>
    <mergeCell ref="B1141:B1142"/>
    <mergeCell ref="B784:B789"/>
    <mergeCell ref="B963:H963"/>
    <mergeCell ref="B964:H964"/>
    <mergeCell ref="B1194:H1194"/>
    <mergeCell ref="B1963:B1969"/>
    <mergeCell ref="B1938:H1938"/>
    <mergeCell ref="A1047:H1047"/>
    <mergeCell ref="A1045:H1045"/>
    <mergeCell ref="B981:H981"/>
    <mergeCell ref="B988:B989"/>
    <mergeCell ref="B1091:B1092"/>
    <mergeCell ref="B822:B823"/>
    <mergeCell ref="B999:B1000"/>
    <mergeCell ref="B995:H995"/>
    <mergeCell ref="B996:H996"/>
    <mergeCell ref="B997:H997"/>
    <mergeCell ref="B1488:B1489"/>
    <mergeCell ref="B1290:H1290"/>
    <mergeCell ref="B1292:B1293"/>
    <mergeCell ref="B1276:B1277"/>
    <mergeCell ref="B1389:B1391"/>
    <mergeCell ref="B1610:H1610"/>
    <mergeCell ref="B1244:H1244"/>
    <mergeCell ref="B1246:B1247"/>
    <mergeCell ref="B1399:H1399"/>
    <mergeCell ref="B1512:H1512"/>
    <mergeCell ref="B1180:B1181"/>
    <mergeCell ref="B1548:B1549"/>
    <mergeCell ref="B5:H5"/>
    <mergeCell ref="B376:H376"/>
    <mergeCell ref="B483:H483"/>
    <mergeCell ref="B498:H498"/>
    <mergeCell ref="B334:H334"/>
    <mergeCell ref="B461:B463"/>
    <mergeCell ref="B485:B487"/>
    <mergeCell ref="B404:B406"/>
    <mergeCell ref="D550:E550"/>
    <mergeCell ref="B456:H456"/>
    <mergeCell ref="B441:H441"/>
    <mergeCell ref="B497:H497"/>
    <mergeCell ref="B527:B529"/>
    <mergeCell ref="B659:B660"/>
    <mergeCell ref="B665:H665"/>
    <mergeCell ref="B654:H654"/>
    <mergeCell ref="B667:H667"/>
    <mergeCell ref="B653:H653"/>
    <mergeCell ref="B641:B642"/>
    <mergeCell ref="B59:H59"/>
    <mergeCell ref="B146:H146"/>
    <mergeCell ref="B444:B446"/>
    <mergeCell ref="B457:H457"/>
    <mergeCell ref="B560:H560"/>
    <mergeCell ref="B399:H399"/>
    <mergeCell ref="B382:B385"/>
    <mergeCell ref="B33:H33"/>
    <mergeCell ref="B34:H34"/>
    <mergeCell ref="B107:H107"/>
    <mergeCell ref="B84:H84"/>
    <mergeCell ref="B36:H36"/>
    <mergeCell ref="B480:H480"/>
    <mergeCell ref="B1137:H1137"/>
    <mergeCell ref="B1138:H1138"/>
    <mergeCell ref="B1474:B1475"/>
    <mergeCell ref="B1165:H1165"/>
    <mergeCell ref="B1177:H1177"/>
    <mergeCell ref="B1532:B1539"/>
    <mergeCell ref="B1163:H1163"/>
    <mergeCell ref="B1143:B1145"/>
    <mergeCell ref="B2458:B2460"/>
    <mergeCell ref="B2183:H2183"/>
    <mergeCell ref="B2185:B2186"/>
    <mergeCell ref="B1657:B1663"/>
    <mergeCell ref="B1752:B1753"/>
    <mergeCell ref="B1762:H1762"/>
    <mergeCell ref="B1572:B1573"/>
    <mergeCell ref="B1754:B1756"/>
    <mergeCell ref="B1248:B1249"/>
    <mergeCell ref="B1472:H1472"/>
    <mergeCell ref="B1806:H1806"/>
    <mergeCell ref="B1844:B1845"/>
    <mergeCell ref="B1304:H1304"/>
    <mergeCell ref="B1306:H1306"/>
    <mergeCell ref="B1289:H1289"/>
    <mergeCell ref="B1139:H1139"/>
    <mergeCell ref="B1182:B1185"/>
    <mergeCell ref="B1958:H1958"/>
    <mergeCell ref="B1230:B1231"/>
    <mergeCell ref="B1242:H1242"/>
    <mergeCell ref="B1243:H1243"/>
    <mergeCell ref="B2215:B2216"/>
    <mergeCell ref="B1724:B1726"/>
    <mergeCell ref="B1164:H1164"/>
    <mergeCell ref="B2787:H2787"/>
    <mergeCell ref="B2816:B2817"/>
    <mergeCell ref="B3049:H3049"/>
    <mergeCell ref="B3080:B3081"/>
    <mergeCell ref="C3341:C3342"/>
    <mergeCell ref="F3108:F3109"/>
    <mergeCell ref="H3108:H3109"/>
    <mergeCell ref="B3122:B3123"/>
    <mergeCell ref="B3301:B3302"/>
    <mergeCell ref="B3311:B3312"/>
    <mergeCell ref="B3336:H3336"/>
    <mergeCell ref="B3337:H3337"/>
    <mergeCell ref="B3339:B3340"/>
    <mergeCell ref="B2998:H2998"/>
    <mergeCell ref="B3000:B3001"/>
    <mergeCell ref="B2624:H2624"/>
    <mergeCell ref="B2626:B2627"/>
    <mergeCell ref="B2628:B2634"/>
    <mergeCell ref="B2643:H2643"/>
    <mergeCell ref="B2644:H2644"/>
    <mergeCell ref="B2715:B2716"/>
    <mergeCell ref="B2717:B2718"/>
    <mergeCell ref="B2726:H2726"/>
    <mergeCell ref="B2727:H2727"/>
    <mergeCell ref="B2728:H2728"/>
    <mergeCell ref="B2743:H2743"/>
    <mergeCell ref="B2746:B2747"/>
    <mergeCell ref="B2657:H2657"/>
    <mergeCell ref="B2705:B2706"/>
    <mergeCell ref="B2842:H2842"/>
    <mergeCell ref="B2945:H2945"/>
    <mergeCell ref="B3632:H3632"/>
    <mergeCell ref="B3246:B3247"/>
    <mergeCell ref="B3261:B3262"/>
    <mergeCell ref="B3219:B3221"/>
    <mergeCell ref="B2891:B2892"/>
    <mergeCell ref="B3713:B3715"/>
    <mergeCell ref="B2893:B2894"/>
    <mergeCell ref="C3979:C3980"/>
    <mergeCell ref="B3349:H3349"/>
    <mergeCell ref="B3351:B3352"/>
    <mergeCell ref="B3282:H3282"/>
    <mergeCell ref="B3244:H3244"/>
    <mergeCell ref="B3910:H3910"/>
    <mergeCell ref="B3038:B3039"/>
    <mergeCell ref="B3885:H3885"/>
    <mergeCell ref="B3886:H3886"/>
    <mergeCell ref="B3258:H3258"/>
    <mergeCell ref="B3269:H3269"/>
    <mergeCell ref="B3257:H3257"/>
    <mergeCell ref="E3108:E3109"/>
    <mergeCell ref="E3122:E3123"/>
    <mergeCell ref="C3952:C3953"/>
    <mergeCell ref="C3965:C3966"/>
    <mergeCell ref="B3866:H3866"/>
    <mergeCell ref="B2987:H2987"/>
    <mergeCell ref="B3785:H3785"/>
    <mergeCell ref="B3735:H3735"/>
    <mergeCell ref="B3103:H3103"/>
    <mergeCell ref="B3104:H3104"/>
    <mergeCell ref="C3599:C3600"/>
    <mergeCell ref="B3596:H3596"/>
    <mergeCell ref="B3075:H3075"/>
    <mergeCell ref="B3537:B3538"/>
    <mergeCell ref="B3478:B3480"/>
    <mergeCell ref="B3521:B3522"/>
    <mergeCell ref="B3523:B3524"/>
    <mergeCell ref="B3465:B3466"/>
    <mergeCell ref="B3509:B3511"/>
    <mergeCell ref="B3518:H3518"/>
    <mergeCell ref="B3619:H3619"/>
    <mergeCell ref="B3435:B3436"/>
    <mergeCell ref="B3437:B3438"/>
    <mergeCell ref="B3460:H3460"/>
    <mergeCell ref="B3187:H3187"/>
    <mergeCell ref="C3122:C3123"/>
    <mergeCell ref="G3108:G3109"/>
    <mergeCell ref="B3175:H3175"/>
    <mergeCell ref="B3422:B3423"/>
    <mergeCell ref="B3313:B3314"/>
    <mergeCell ref="B3424:B3425"/>
    <mergeCell ref="B3348:H3348"/>
    <mergeCell ref="B3551:B3552"/>
    <mergeCell ref="C3586:C3587"/>
    <mergeCell ref="B3406:B3407"/>
    <mergeCell ref="B3228:H3228"/>
    <mergeCell ref="B3227:H3227"/>
    <mergeCell ref="B3217:B3218"/>
    <mergeCell ref="B3199:H3199"/>
    <mergeCell ref="B3461:H3461"/>
    <mergeCell ref="B3446:H3446"/>
    <mergeCell ref="B3445:H3445"/>
    <mergeCell ref="B3450:B3451"/>
    <mergeCell ref="B3504:H3504"/>
    <mergeCell ref="B3448:B3449"/>
    <mergeCell ref="B3663:H3663"/>
    <mergeCell ref="B2978:B2979"/>
    <mergeCell ref="B2965:B2966"/>
    <mergeCell ref="B3768:H3768"/>
    <mergeCell ref="B3738:B3739"/>
    <mergeCell ref="B3664:H3664"/>
    <mergeCell ref="B3665:H3665"/>
    <mergeCell ref="B3898:H3898"/>
    <mergeCell ref="B3899:H3899"/>
    <mergeCell ref="B4226:B4228"/>
    <mergeCell ref="B4239:B4240"/>
    <mergeCell ref="B2980:B2982"/>
    <mergeCell ref="B2997:H2997"/>
    <mergeCell ref="B4110:H4110"/>
    <mergeCell ref="B3120:B3121"/>
    <mergeCell ref="G3122:G3123"/>
    <mergeCell ref="F3122:F3123"/>
    <mergeCell ref="C3108:C3109"/>
    <mergeCell ref="D3108:D3109"/>
    <mergeCell ref="E3965:E3966"/>
    <mergeCell ref="B3962:H3962"/>
    <mergeCell ref="B3798:H3798"/>
    <mergeCell ref="E3341:E3342"/>
    <mergeCell ref="B3609:B3610"/>
    <mergeCell ref="C3609:C3610"/>
    <mergeCell ref="B3887:H3887"/>
    <mergeCell ref="B3897:H3897"/>
    <mergeCell ref="B3531:H3531"/>
    <mergeCell ref="B3389:H3389"/>
    <mergeCell ref="B3388:H3388"/>
    <mergeCell ref="B3391:B3392"/>
    <mergeCell ref="B3875:H3875"/>
    <mergeCell ref="B4591:H4591"/>
    <mergeCell ref="B4199:H4199"/>
    <mergeCell ref="B4200:H4200"/>
    <mergeCell ref="B4132:H4132"/>
    <mergeCell ref="B4187:H4187"/>
    <mergeCell ref="B4188:H4188"/>
    <mergeCell ref="B4578:H4578"/>
    <mergeCell ref="B4581:H4581"/>
    <mergeCell ref="B4120:H4120"/>
    <mergeCell ref="B4273:B4277"/>
    <mergeCell ref="B4266:H4266"/>
    <mergeCell ref="B4286:H4286"/>
    <mergeCell ref="B4287:H4287"/>
    <mergeCell ref="B4288:H4288"/>
    <mergeCell ref="B4290:B4291"/>
    <mergeCell ref="B4145:H4145"/>
    <mergeCell ref="B4146:H4146"/>
    <mergeCell ref="B4406:B4409"/>
    <mergeCell ref="B4415:H4415"/>
    <mergeCell ref="B4417:H4417"/>
    <mergeCell ref="B4419:B4420"/>
    <mergeCell ref="B4421:B4423"/>
    <mergeCell ref="B4429:H4429"/>
    <mergeCell ref="B4235:H4235"/>
    <mergeCell ref="B4544:H4545"/>
    <mergeCell ref="B4555:H4556"/>
    <mergeCell ref="B4236:H4236"/>
    <mergeCell ref="B4546:H4546"/>
    <mergeCell ref="B4568:H4568"/>
    <mergeCell ref="B4557:H4557"/>
    <mergeCell ref="B4431:H4431"/>
    <mergeCell ref="B4433:B4434"/>
    <mergeCell ref="B4566:H4567"/>
    <mergeCell ref="B4579:H4580"/>
    <mergeCell ref="B4284:H4284"/>
    <mergeCell ref="B4285:H4285"/>
    <mergeCell ref="B4224:B4225"/>
    <mergeCell ref="B4251:H4251"/>
    <mergeCell ref="B4032:H4032"/>
    <mergeCell ref="B4163:H4163"/>
    <mergeCell ref="B4167:B4169"/>
    <mergeCell ref="B4035:B4036"/>
    <mergeCell ref="B4044:H4044"/>
    <mergeCell ref="B3680:H3680"/>
    <mergeCell ref="B3681:H3681"/>
    <mergeCell ref="B3667:B3668"/>
    <mergeCell ref="B3669:B3671"/>
    <mergeCell ref="B3736:H3736"/>
    <mergeCell ref="B3683:B3684"/>
    <mergeCell ref="B4221:H4221"/>
    <mergeCell ref="B4222:H4222"/>
    <mergeCell ref="B4134:B4135"/>
    <mergeCell ref="B3919:H3919"/>
    <mergeCell ref="B4109:H4109"/>
    <mergeCell ref="B4112:B4113"/>
    <mergeCell ref="B3809:H3809"/>
    <mergeCell ref="B3820:H3820"/>
    <mergeCell ref="B3852:H3852"/>
    <mergeCell ref="B3853:H3853"/>
    <mergeCell ref="B3854:H3854"/>
    <mergeCell ref="B3855:H3855"/>
    <mergeCell ref="B3685:B3688"/>
    <mergeCell ref="B3876:H3876"/>
    <mergeCell ref="B3864:H3864"/>
    <mergeCell ref="B3976:H3976"/>
    <mergeCell ref="B3977:H3977"/>
    <mergeCell ref="B3710:H3710"/>
    <mergeCell ref="B3723:H3723"/>
    <mergeCell ref="B3724:H3724"/>
    <mergeCell ref="B4068:H4068"/>
    <mergeCell ref="B4069:H4069"/>
    <mergeCell ref="B4078:H4078"/>
    <mergeCell ref="B4079:H4079"/>
    <mergeCell ref="B4087:H4087"/>
    <mergeCell ref="B4088:H4088"/>
    <mergeCell ref="B4096:H4096"/>
    <mergeCell ref="B4097:H4097"/>
    <mergeCell ref="B2502:B2504"/>
    <mergeCell ref="B2668:H2668"/>
    <mergeCell ref="B3296:H3296"/>
    <mergeCell ref="B3204:B3205"/>
    <mergeCell ref="B3933:H3933"/>
    <mergeCell ref="B3865:H3865"/>
    <mergeCell ref="B3754:B3755"/>
    <mergeCell ref="B3324:B3325"/>
    <mergeCell ref="B3326:B3327"/>
    <mergeCell ref="B2666:H2666"/>
    <mergeCell ref="B2667:H2667"/>
    <mergeCell ref="B2875:H2875"/>
    <mergeCell ref="B2876:H2876"/>
    <mergeCell ref="B3145:H3145"/>
    <mergeCell ref="B3243:H3243"/>
    <mergeCell ref="B3233:B3235"/>
    <mergeCell ref="C3204:C3205"/>
    <mergeCell ref="E3204:E3205"/>
    <mergeCell ref="B2656:H2656"/>
    <mergeCell ref="B3149:B3150"/>
    <mergeCell ref="B3297:H3297"/>
    <mergeCell ref="B2946:H2946"/>
    <mergeCell ref="B2975:H2975"/>
    <mergeCell ref="B2948:B2949"/>
    <mergeCell ref="B2950:B2951"/>
    <mergeCell ref="B3419:H3419"/>
    <mergeCell ref="B2976:H2976"/>
    <mergeCell ref="B2962:H2962"/>
    <mergeCell ref="B2963:H2963"/>
    <mergeCell ref="B3403:H3403"/>
    <mergeCell ref="E3190:E3191"/>
    <mergeCell ref="C3190:C3191"/>
    <mergeCell ref="B3190:B3191"/>
    <mergeCell ref="B3188:H3188"/>
    <mergeCell ref="B3420:H3420"/>
    <mergeCell ref="B3064:B3065"/>
    <mergeCell ref="B3036:H3036"/>
    <mergeCell ref="B3094:B3095"/>
    <mergeCell ref="B3096:B3097"/>
    <mergeCell ref="B3040:B3041"/>
    <mergeCell ref="B3050:H3050"/>
    <mergeCell ref="B3020:H3020"/>
    <mergeCell ref="B2988:H2988"/>
    <mergeCell ref="B2888:H2888"/>
    <mergeCell ref="B2802:B2803"/>
    <mergeCell ref="B3299:B3300"/>
    <mergeCell ref="B3377:H3377"/>
    <mergeCell ref="B4674:H4674"/>
    <mergeCell ref="B3393:B3396"/>
    <mergeCell ref="E3586:E3587"/>
    <mergeCell ref="B3564:B3565"/>
    <mergeCell ref="C3564:C3565"/>
    <mergeCell ref="E3564:E3565"/>
    <mergeCell ref="B3561:H3561"/>
    <mergeCell ref="B3562:H3562"/>
    <mergeCell ref="B3909:H3909"/>
    <mergeCell ref="B3726:B3727"/>
    <mergeCell ref="B3695:H3695"/>
    <mergeCell ref="B3709:H3709"/>
    <mergeCell ref="B3322:H3322"/>
    <mergeCell ref="B3756:B3759"/>
    <mergeCell ref="B3505:H3505"/>
    <mergeCell ref="B3202:B3203"/>
    <mergeCell ref="B2878:B2879"/>
    <mergeCell ref="C3465:C3466"/>
    <mergeCell ref="B3463:B3464"/>
    <mergeCell ref="B3491:B3492"/>
    <mergeCell ref="B3493:B3495"/>
    <mergeCell ref="B3476:B3477"/>
    <mergeCell ref="B3473:H3473"/>
    <mergeCell ref="B3474:H3474"/>
    <mergeCell ref="E3465:E3466"/>
    <mergeCell ref="B3488:H3488"/>
    <mergeCell ref="B3489:H3489"/>
    <mergeCell ref="B3214:H3214"/>
    <mergeCell ref="B4675:H4675"/>
    <mergeCell ref="B4797:H4797"/>
    <mergeCell ref="B4798:H4798"/>
    <mergeCell ref="B4045:H4045"/>
    <mergeCell ref="B1305:H1305"/>
    <mergeCell ref="B962:H962"/>
    <mergeCell ref="B1011:H1011"/>
    <mergeCell ref="B4271:B4272"/>
    <mergeCell ref="B4267:H4267"/>
    <mergeCell ref="B4268:H4268"/>
    <mergeCell ref="B4269:H4269"/>
    <mergeCell ref="B2500:B2501"/>
    <mergeCell ref="B4098:H4098"/>
    <mergeCell ref="B2670:B2671"/>
    <mergeCell ref="B2546:B2548"/>
    <mergeCell ref="B2549:B2555"/>
    <mergeCell ref="B3270:H3270"/>
    <mergeCell ref="B3281:H3281"/>
    <mergeCell ref="B3272:B3273"/>
    <mergeCell ref="B3285:B3286"/>
    <mergeCell ref="B2889:H2889"/>
    <mergeCell ref="B2903:H2903"/>
    <mergeCell ref="B2904:H2904"/>
    <mergeCell ref="B2918:H2918"/>
    <mergeCell ref="B2908:B2909"/>
    <mergeCell ref="B2906:B2907"/>
    <mergeCell ref="B2934:B2935"/>
    <mergeCell ref="B2936:B2937"/>
    <mergeCell ref="B2923:B2925"/>
    <mergeCell ref="B3308:H3308"/>
    <mergeCell ref="B3215:H3215"/>
    <mergeCell ref="B2932:H2932"/>
    <mergeCell ref="B4799:H4799"/>
    <mergeCell ref="B3535:B3536"/>
    <mergeCell ref="B2748:B2749"/>
    <mergeCell ref="B2758:B2759"/>
    <mergeCell ref="B2776:B2777"/>
    <mergeCell ref="B2800:B2801"/>
    <mergeCell ref="B2797:H2797"/>
    <mergeCell ref="B2813:H2813"/>
    <mergeCell ref="B2760:B2761"/>
    <mergeCell ref="B3341:B3342"/>
    <mergeCell ref="B3309:H3309"/>
    <mergeCell ref="B3321:H3321"/>
    <mergeCell ref="B3519:H3519"/>
    <mergeCell ref="B4616:H4616"/>
    <mergeCell ref="B4617:H4617"/>
    <mergeCell ref="B4047:B4048"/>
    <mergeCell ref="B4056:H4056"/>
    <mergeCell ref="B4057:H4057"/>
    <mergeCell ref="B4059:B4060"/>
    <mergeCell ref="B3133:H3133"/>
    <mergeCell ref="B3134:H3134"/>
    <mergeCell ref="B3151:B3152"/>
    <mergeCell ref="B3146:H3146"/>
    <mergeCell ref="B4592:H4593"/>
    <mergeCell ref="B4628:H4628"/>
    <mergeCell ref="B4629:H4629"/>
    <mergeCell ref="B4639:H4639"/>
    <mergeCell ref="B4640:H4640"/>
    <mergeCell ref="B4650:H4650"/>
    <mergeCell ref="B4651:H4651"/>
    <mergeCell ref="B4662:H4662"/>
    <mergeCell ref="B4663:H4663"/>
  </mergeCells>
  <phoneticPr fontId="0" type="noConversion"/>
  <hyperlinks>
    <hyperlink ref="C1859" r:id="rId1" display="!@ dL=dL=sdl;{on KnfO{"/>
    <hyperlink ref="C1883" r:id="rId2" display="!@ dL=dL=sdl;{on KnfO{"/>
    <hyperlink ref="C1902" r:id="rId3" display="!@ dL=dL=sdl;{on KnfO{"/>
    <hyperlink ref="B2" r:id="rId4"/>
    <hyperlink ref="B17" r:id="rId5" display="!@–#) ;]=dL= uf]nfO{sf] ?v 9fNg] sfo{ xfFufx? sf6L ?vsf] 6'qmf kf/L lgdf{0f :ynaf6 "/>
  </hyperlinks>
  <printOptions horizontalCentered="1"/>
  <pageMargins left="0.25" right="0.25" top="0.65" bottom="0.75" header="0.3" footer="0.3"/>
  <pageSetup paperSize="9" scale="80" orientation="portrait" horizontalDpi="4294967294" r:id="rId6"/>
  <headerFooter alignWithMargins="0">
    <oddFooter>&amp;C&amp;11Page &amp;P</oddFooter>
  </headerFooter>
  <rowBreaks count="110" manualBreakCount="110">
    <brk id="43" max="16383" man="1"/>
    <brk id="82" max="16383" man="1"/>
    <brk id="120" max="16383" man="1"/>
    <brk id="156" max="16383" man="1"/>
    <brk id="198" max="16383" man="1"/>
    <brk id="243" max="7" man="1"/>
    <brk id="285" max="7" man="1"/>
    <brk id="331" max="16383" man="1"/>
    <brk id="373" max="16383" man="1"/>
    <brk id="415" max="16383" man="1"/>
    <brk id="455" max="16383" man="1"/>
    <brk id="496" max="16383" man="1"/>
    <brk id="538" max="16383" man="1"/>
    <brk id="577" max="16383" man="1"/>
    <brk id="619" max="16383" man="1"/>
    <brk id="663" max="16383" man="1"/>
    <brk id="708" max="16383" man="1"/>
    <brk id="754" max="16383" man="1"/>
    <brk id="793" max="16383" man="1"/>
    <brk id="832" max="16383" man="1"/>
    <brk id="878" max="16383" man="1"/>
    <brk id="923" max="16383" man="1"/>
    <brk id="961" max="16383" man="1"/>
    <brk id="1007" max="16383" man="1"/>
    <brk id="1049" max="16383" man="1"/>
    <brk id="1086" max="16383" man="1"/>
    <brk id="1135" max="16383" man="1"/>
    <brk id="1175" max="16383" man="1"/>
    <brk id="1222" max="16383" man="1"/>
    <brk id="1271" max="16383" man="1"/>
    <brk id="1319" max="16383" man="1"/>
    <brk id="1363" max="16383" man="1"/>
    <brk id="1409" max="16383" man="1"/>
    <brk id="1453" max="16383" man="1"/>
    <brk id="1496" max="7" man="1"/>
    <brk id="1543" max="16383" man="1"/>
    <brk id="1584" max="16383" man="1"/>
    <brk id="1625" max="16383" man="1"/>
    <brk id="1668" max="16383" man="1"/>
    <brk id="1717" max="16383" man="1"/>
    <brk id="1760" max="7" man="1"/>
    <brk id="1804" max="16383" man="1"/>
    <brk id="1851" max="16383" man="1"/>
    <brk id="1894" max="16383" man="1"/>
    <brk id="1936" max="16383" man="1"/>
    <brk id="1974" max="16383" man="1"/>
    <brk id="2022" max="7" man="1"/>
    <brk id="2070" max="16383" man="1"/>
    <brk id="2119" max="16383" man="1"/>
    <brk id="2165" max="7" man="1"/>
    <brk id="2211" max="7" man="1"/>
    <brk id="2257" max="16383" man="1"/>
    <brk id="2303" max="16383" man="1"/>
    <brk id="2345" max="16383" man="1"/>
    <brk id="2392" max="16383" man="1"/>
    <brk id="2434" max="7" man="1"/>
    <brk id="2480" max="16383" man="1"/>
    <brk id="2527" max="16383" man="1"/>
    <brk id="2575" max="7" man="1"/>
    <brk id="2621" max="16383" man="1"/>
    <brk id="2664" max="7" man="1"/>
    <brk id="2710" max="16383" man="1"/>
    <brk id="2753" max="16383" man="1"/>
    <brk id="2796" max="7" man="1"/>
    <brk id="2841" max="7" man="1"/>
    <brk id="2885" max="16383" man="1"/>
    <brk id="2929" max="7" man="1"/>
    <brk id="2973" max="7" man="1"/>
    <brk id="3018" max="7" man="1"/>
    <brk id="3059" max="16383" man="1"/>
    <brk id="3102" max="7" man="1"/>
    <brk id="3144" max="7" man="1"/>
    <brk id="3186" max="7" man="1"/>
    <brk id="3226" max="7" man="1"/>
    <brk id="3268" max="7" man="1"/>
    <brk id="3306" max="7" man="1"/>
    <brk id="3347" max="7" man="1"/>
    <brk id="3386" max="7" man="1"/>
    <brk id="3431" max="7" man="1"/>
    <brk id="3472" max="7" man="1"/>
    <brk id="3516" max="7" man="1"/>
    <brk id="3560" max="7" man="1"/>
    <brk id="3605" max="7" man="1"/>
    <brk id="3645" max="7" man="1"/>
    <brk id="3693" max="7" man="1"/>
    <brk id="3734" max="7" man="1"/>
    <brk id="3781" max="7" man="1"/>
    <brk id="3829" max="7" man="1"/>
    <brk id="3874" max="7" man="1"/>
    <brk id="3918" max="7" man="1"/>
    <brk id="3960" max="7" man="1"/>
    <brk id="4004" max="7" man="1"/>
    <brk id="4042" max="7" man="1"/>
    <brk id="4084" max="7" man="1"/>
    <brk id="4129" max="7" man="1"/>
    <brk id="4174" max="7" man="1"/>
    <brk id="4219" max="7" man="1"/>
    <brk id="4264" max="7" man="1"/>
    <brk id="4310" max="7" man="1"/>
    <brk id="4354" max="7" man="1"/>
    <brk id="4382" max="7" man="1"/>
    <brk id="4428" max="7" man="1"/>
    <brk id="4467" max="7" man="1"/>
    <brk id="4509" max="7" man="1"/>
    <brk id="4553" max="16383" man="1"/>
    <brk id="4602" max="16383" man="1"/>
    <brk id="4648" max="16383" man="1"/>
    <brk id="4693" max="16383" man="1"/>
    <brk id="4739" max="16383" man="1"/>
    <brk id="4785" max="7" man="1"/>
  </rowBreaks>
  <drawing r:id="rId7"/>
  <legacyDrawing r:id="rId8"/>
  <oleObjects>
    <oleObject progId="Equation.3" shapeId="8193" r:id="rId9"/>
    <oleObject progId="Equation.3" shapeId="8195" r:id="rId10"/>
  </oleObjects>
</worksheet>
</file>

<file path=xl/worksheets/sheet5.xml><?xml version="1.0" encoding="utf-8"?>
<worksheet xmlns="http://schemas.openxmlformats.org/spreadsheetml/2006/main" xmlns:r="http://schemas.openxmlformats.org/officeDocument/2006/relationships">
  <dimension ref="B1:E20"/>
  <sheetViews>
    <sheetView workbookViewId="0"/>
  </sheetViews>
  <sheetFormatPr defaultRowHeight="12.75"/>
  <cols>
    <col min="1" max="1" width="9.140625" style="94"/>
    <col min="2" max="2" width="12.7109375" style="94" bestFit="1" customWidth="1"/>
    <col min="3" max="3" width="34.7109375" style="94" customWidth="1"/>
    <col min="4" max="4" width="13" style="94" bestFit="1" customWidth="1"/>
    <col min="5" max="5" width="17" style="94" bestFit="1" customWidth="1"/>
    <col min="6" max="16384" width="9.140625" style="94"/>
  </cols>
  <sheetData>
    <row r="1" spans="2:5" ht="30.75">
      <c r="B1" s="1193" t="s">
        <v>3257</v>
      </c>
      <c r="C1" s="1193"/>
      <c r="D1" s="1193"/>
      <c r="E1" s="1193"/>
    </row>
    <row r="2" spans="2:5" ht="13.5" thickBot="1"/>
    <row r="3" spans="2:5" ht="15.75">
      <c r="B3" s="1196" t="s">
        <v>808</v>
      </c>
      <c r="C3" s="1198" t="s">
        <v>809</v>
      </c>
      <c r="D3" s="1194" t="s">
        <v>3259</v>
      </c>
      <c r="E3" s="1195"/>
    </row>
    <row r="4" spans="2:5" ht="16.5" thickBot="1">
      <c r="B4" s="1197"/>
      <c r="C4" s="1199"/>
      <c r="D4" s="485" t="s">
        <v>3260</v>
      </c>
      <c r="E4" s="486" t="s">
        <v>3258</v>
      </c>
    </row>
    <row r="5" spans="2:5" ht="19.5">
      <c r="B5" s="481" t="s">
        <v>825</v>
      </c>
      <c r="C5" s="482" t="s">
        <v>3442</v>
      </c>
      <c r="D5" s="483" t="s">
        <v>805</v>
      </c>
      <c r="E5" s="484" t="s">
        <v>3426</v>
      </c>
    </row>
    <row r="6" spans="2:5" ht="19.5">
      <c r="B6" s="475" t="s">
        <v>810</v>
      </c>
      <c r="C6" s="474" t="s">
        <v>826</v>
      </c>
      <c r="D6" s="473" t="s">
        <v>840</v>
      </c>
      <c r="E6" s="476" t="s">
        <v>3427</v>
      </c>
    </row>
    <row r="7" spans="2:5" ht="19.5">
      <c r="B7" s="475" t="s">
        <v>811</v>
      </c>
      <c r="C7" s="474" t="s">
        <v>827</v>
      </c>
      <c r="D7" s="473" t="s">
        <v>841</v>
      </c>
      <c r="E7" s="476" t="s">
        <v>3428</v>
      </c>
    </row>
    <row r="8" spans="2:5" ht="19.5">
      <c r="B8" s="475" t="s">
        <v>812</v>
      </c>
      <c r="C8" s="474" t="s">
        <v>828</v>
      </c>
      <c r="D8" s="473" t="s">
        <v>842</v>
      </c>
      <c r="E8" s="476" t="s">
        <v>3429</v>
      </c>
    </row>
    <row r="9" spans="2:5" ht="19.5">
      <c r="B9" s="475" t="s">
        <v>813</v>
      </c>
      <c r="C9" s="474" t="s">
        <v>829</v>
      </c>
      <c r="D9" s="473" t="s">
        <v>843</v>
      </c>
      <c r="E9" s="476" t="s">
        <v>3430</v>
      </c>
    </row>
    <row r="10" spans="2:5" ht="19.5">
      <c r="B10" s="475" t="s">
        <v>814</v>
      </c>
      <c r="C10" s="474" t="s">
        <v>830</v>
      </c>
      <c r="D10" s="473" t="s">
        <v>844</v>
      </c>
      <c r="E10" s="476" t="s">
        <v>3431</v>
      </c>
    </row>
    <row r="11" spans="2:5" ht="19.5">
      <c r="B11" s="475" t="s">
        <v>815</v>
      </c>
      <c r="C11" s="474" t="s">
        <v>831</v>
      </c>
      <c r="D11" s="473" t="s">
        <v>845</v>
      </c>
      <c r="E11" s="476" t="s">
        <v>3432</v>
      </c>
    </row>
    <row r="12" spans="2:5" ht="19.5">
      <c r="B12" s="475" t="s">
        <v>816</v>
      </c>
      <c r="C12" s="474" t="s">
        <v>832</v>
      </c>
      <c r="D12" s="473" t="s">
        <v>846</v>
      </c>
      <c r="E12" s="476" t="s">
        <v>3433</v>
      </c>
    </row>
    <row r="13" spans="2:5" ht="19.5">
      <c r="B13" s="475" t="s">
        <v>817</v>
      </c>
      <c r="C13" s="474" t="s">
        <v>833</v>
      </c>
      <c r="D13" s="473" t="s">
        <v>847</v>
      </c>
      <c r="E13" s="476" t="s">
        <v>3434</v>
      </c>
    </row>
    <row r="14" spans="2:5" ht="19.5">
      <c r="B14" s="475" t="s">
        <v>818</v>
      </c>
      <c r="C14" s="474" t="s">
        <v>3441</v>
      </c>
      <c r="D14" s="473" t="s">
        <v>848</v>
      </c>
      <c r="E14" s="476" t="s">
        <v>3435</v>
      </c>
    </row>
    <row r="15" spans="2:5" ht="19.5">
      <c r="B15" s="475" t="s">
        <v>819</v>
      </c>
      <c r="C15" s="474" t="s">
        <v>834</v>
      </c>
      <c r="D15" s="473" t="s">
        <v>849</v>
      </c>
      <c r="E15" s="476" t="s">
        <v>3436</v>
      </c>
    </row>
    <row r="16" spans="2:5" ht="19.5">
      <c r="B16" s="475" t="s">
        <v>820</v>
      </c>
      <c r="C16" s="474" t="s">
        <v>835</v>
      </c>
      <c r="D16" s="473" t="s">
        <v>850</v>
      </c>
      <c r="E16" s="476" t="s">
        <v>3437</v>
      </c>
    </row>
    <row r="17" spans="2:5" ht="19.5">
      <c r="B17" s="475" t="s">
        <v>821</v>
      </c>
      <c r="C17" s="474" t="s">
        <v>836</v>
      </c>
      <c r="D17" s="473" t="s">
        <v>851</v>
      </c>
      <c r="E17" s="476" t="s">
        <v>3438</v>
      </c>
    </row>
    <row r="18" spans="2:5" ht="19.5">
      <c r="B18" s="475" t="s">
        <v>822</v>
      </c>
      <c r="C18" s="474" t="s">
        <v>837</v>
      </c>
      <c r="D18" s="473" t="s">
        <v>852</v>
      </c>
      <c r="E18" s="476" t="s">
        <v>3439</v>
      </c>
    </row>
    <row r="19" spans="2:5" ht="19.5">
      <c r="B19" s="475" t="s">
        <v>823</v>
      </c>
      <c r="C19" s="474" t="s">
        <v>838</v>
      </c>
      <c r="D19" s="473" t="s">
        <v>853</v>
      </c>
      <c r="E19" s="476" t="s">
        <v>3440</v>
      </c>
    </row>
    <row r="20" spans="2:5" ht="20.25" thickBot="1">
      <c r="B20" s="477" t="s">
        <v>824</v>
      </c>
      <c r="C20" s="478" t="s">
        <v>839</v>
      </c>
      <c r="D20" s="479" t="s">
        <v>2034</v>
      </c>
      <c r="E20" s="480" t="s">
        <v>2033</v>
      </c>
    </row>
  </sheetData>
  <sheetProtection password="C945" sheet="1"/>
  <mergeCells count="4">
    <mergeCell ref="B1:E1"/>
    <mergeCell ref="D3:E3"/>
    <mergeCell ref="B3:B4"/>
    <mergeCell ref="C3:C4"/>
  </mergeCells>
  <phoneticPr fontId="61" type="noConversion"/>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I567"/>
  <sheetViews>
    <sheetView view="pageBreakPreview" topLeftCell="A379" zoomScale="89" zoomScaleSheetLayoutView="89" workbookViewId="0">
      <selection activeCell="I394" sqref="I394"/>
    </sheetView>
  </sheetViews>
  <sheetFormatPr defaultRowHeight="12.75"/>
  <cols>
    <col min="1" max="1" width="7.28515625" style="99" customWidth="1"/>
    <col min="2" max="2" width="64.140625" customWidth="1"/>
    <col min="3" max="3" width="9.5703125" style="99" customWidth="1"/>
    <col min="4" max="4" width="3.5703125" style="121" customWidth="1"/>
    <col min="5" max="5" width="13.85546875" style="107" customWidth="1"/>
    <col min="6" max="6" width="8.42578125" style="121" customWidth="1"/>
    <col min="9" max="9" width="9.5703125" bestFit="1" customWidth="1"/>
  </cols>
  <sheetData>
    <row r="1" spans="1:9" ht="7.5" customHeight="1"/>
    <row r="2" spans="1:9" ht="26.25" customHeight="1">
      <c r="A2" s="1202" t="s">
        <v>3256</v>
      </c>
      <c r="B2" s="1202"/>
      <c r="C2" s="1202"/>
      <c r="D2" s="1202"/>
      <c r="E2" s="1202"/>
    </row>
    <row r="3" spans="1:9" ht="27" customHeight="1">
      <c r="A3" s="951"/>
      <c r="B3" s="1204" t="s">
        <v>2981</v>
      </c>
      <c r="C3" s="1204"/>
      <c r="D3" s="1204"/>
      <c r="E3" s="1204"/>
      <c r="F3" s="1204"/>
    </row>
    <row r="4" spans="1:9" ht="19.5" customHeight="1">
      <c r="A4" s="951"/>
      <c r="C4" s="171" t="s">
        <v>3</v>
      </c>
      <c r="D4" s="1201" t="s">
        <v>4197</v>
      </c>
      <c r="E4" s="1201"/>
      <c r="F4" s="1201"/>
    </row>
    <row r="5" spans="1:9" ht="18.75" customHeight="1">
      <c r="A5" s="1203" t="s">
        <v>2845</v>
      </c>
      <c r="B5" s="1203"/>
      <c r="C5" s="1203"/>
      <c r="D5" s="1203"/>
      <c r="E5" s="1203"/>
      <c r="F5" s="1203"/>
    </row>
    <row r="6" spans="1:9" ht="20.25">
      <c r="A6" s="953" t="s">
        <v>4198</v>
      </c>
      <c r="B6" s="1044" t="s">
        <v>547</v>
      </c>
      <c r="C6" s="101" t="s">
        <v>2846</v>
      </c>
      <c r="D6" s="95" t="s">
        <v>3384</v>
      </c>
      <c r="E6" s="153">
        <f>'Update Descrip'!B11</f>
        <v>56.06</v>
      </c>
      <c r="F6" s="154" t="s">
        <v>4</v>
      </c>
      <c r="G6" s="281"/>
      <c r="I6" s="281"/>
    </row>
    <row r="7" spans="1:9" ht="20.25">
      <c r="A7" s="953" t="s">
        <v>4199</v>
      </c>
      <c r="B7" s="1044" t="s">
        <v>4100</v>
      </c>
      <c r="C7" s="101" t="s">
        <v>2846</v>
      </c>
      <c r="D7" s="152" t="s">
        <v>3384</v>
      </c>
      <c r="E7" s="153">
        <f>+'Update Descrip'!B26</f>
        <v>422.62</v>
      </c>
      <c r="F7" s="154" t="s">
        <v>4</v>
      </c>
      <c r="G7" s="281"/>
      <c r="I7" s="281"/>
    </row>
    <row r="8" spans="1:9" ht="20.25">
      <c r="A8" s="953" t="s">
        <v>4200</v>
      </c>
      <c r="B8" s="1044" t="s">
        <v>4101</v>
      </c>
      <c r="C8" s="101" t="s">
        <v>2846</v>
      </c>
      <c r="D8" s="152" t="s">
        <v>3384</v>
      </c>
      <c r="E8" s="153">
        <f>'Update Descrip'!B42</f>
        <v>172.5</v>
      </c>
      <c r="F8" s="154" t="s">
        <v>4</v>
      </c>
      <c r="G8" s="281"/>
      <c r="I8" s="281"/>
    </row>
    <row r="9" spans="1:9" ht="20.25">
      <c r="A9" s="953" t="s">
        <v>4201</v>
      </c>
      <c r="B9" s="1044" t="s">
        <v>4102</v>
      </c>
      <c r="C9" s="101" t="s">
        <v>2847</v>
      </c>
      <c r="D9" s="152" t="s">
        <v>3384</v>
      </c>
      <c r="E9" s="153">
        <f>'Update Descrip'!B53</f>
        <v>1086.75</v>
      </c>
      <c r="F9" s="154" t="s">
        <v>4</v>
      </c>
      <c r="G9" s="281"/>
      <c r="I9" s="281"/>
    </row>
    <row r="10" spans="1:9" ht="20.25">
      <c r="A10" s="953" t="s">
        <v>4202</v>
      </c>
      <c r="B10" s="1044" t="s">
        <v>4570</v>
      </c>
      <c r="C10" s="101" t="s">
        <v>2847</v>
      </c>
      <c r="D10" s="152" t="s">
        <v>3384</v>
      </c>
      <c r="E10" s="153">
        <f>'Update Descrip'!B67</f>
        <v>9.91</v>
      </c>
      <c r="F10" s="154" t="s">
        <v>3170</v>
      </c>
      <c r="G10" s="281"/>
      <c r="I10" s="281"/>
    </row>
    <row r="11" spans="1:9" ht="20.25">
      <c r="A11" s="953" t="s">
        <v>4203</v>
      </c>
      <c r="B11" s="1044" t="s">
        <v>4103</v>
      </c>
      <c r="C11" s="101" t="s">
        <v>2847</v>
      </c>
      <c r="D11" s="152" t="s">
        <v>3384</v>
      </c>
      <c r="E11" s="153">
        <f>'Update Descrip'!B82</f>
        <v>4.3100000000000005</v>
      </c>
      <c r="F11" s="154" t="s">
        <v>3170</v>
      </c>
      <c r="G11" s="281"/>
      <c r="I11" s="281"/>
    </row>
    <row r="12" spans="1:9" ht="20.25">
      <c r="A12" s="953" t="s">
        <v>4204</v>
      </c>
      <c r="B12" s="1044" t="s">
        <v>4571</v>
      </c>
      <c r="C12" s="101" t="s">
        <v>2849</v>
      </c>
      <c r="D12" s="152" t="s">
        <v>3384</v>
      </c>
      <c r="E12" s="153">
        <f>'Update Descrip'!B93</f>
        <v>395.209</v>
      </c>
      <c r="F12" s="154" t="s">
        <v>3170</v>
      </c>
      <c r="G12" s="281"/>
      <c r="I12" s="281"/>
    </row>
    <row r="13" spans="1:9" s="949" customFormat="1" ht="20.25">
      <c r="A13" s="953" t="s">
        <v>4205</v>
      </c>
      <c r="B13" s="1044" t="s">
        <v>4572</v>
      </c>
      <c r="C13" s="101">
        <v>3</v>
      </c>
      <c r="D13" s="152" t="s">
        <v>3384</v>
      </c>
      <c r="E13" s="153">
        <f>'Update Descrip'!B118</f>
        <v>464.88800000000003</v>
      </c>
      <c r="F13" s="154" t="s">
        <v>4672</v>
      </c>
      <c r="G13" s="281"/>
      <c r="I13" s="281"/>
    </row>
    <row r="14" spans="1:9" s="1036" customFormat="1" ht="7.5" customHeight="1">
      <c r="A14" s="953"/>
      <c r="B14" s="95"/>
      <c r="C14" s="101"/>
      <c r="D14" s="152"/>
      <c r="E14" s="153"/>
      <c r="F14" s="154"/>
      <c r="G14" s="281"/>
      <c r="I14" s="281"/>
    </row>
    <row r="15" spans="1:9" ht="18.75" customHeight="1">
      <c r="A15" s="1203" t="s">
        <v>2848</v>
      </c>
      <c r="B15" s="1203"/>
      <c r="C15" s="1203"/>
      <c r="D15" s="1203"/>
      <c r="E15" s="1203"/>
      <c r="F15" s="1203"/>
      <c r="G15" s="281"/>
      <c r="I15" s="281"/>
    </row>
    <row r="16" spans="1:9" ht="20.25">
      <c r="A16" s="953" t="s">
        <v>4241</v>
      </c>
      <c r="B16" s="1044" t="s">
        <v>4104</v>
      </c>
      <c r="C16" s="101">
        <v>4</v>
      </c>
      <c r="D16" s="152" t="s">
        <v>3384</v>
      </c>
      <c r="E16" s="153">
        <f>'Update Descrip'!B136</f>
        <v>52794.2</v>
      </c>
      <c r="F16" s="95" t="s">
        <v>4105</v>
      </c>
      <c r="G16" s="281"/>
      <c r="I16" s="281"/>
    </row>
    <row r="17" spans="1:9" ht="20.25">
      <c r="A17" s="953" t="s">
        <v>4242</v>
      </c>
      <c r="B17" s="1044" t="s">
        <v>4106</v>
      </c>
      <c r="C17" s="101">
        <v>4</v>
      </c>
      <c r="D17" s="152" t="s">
        <v>3384</v>
      </c>
      <c r="E17" s="153">
        <f>'Update Descrip'!B154</f>
        <v>310.92</v>
      </c>
      <c r="F17" s="154" t="s">
        <v>855</v>
      </c>
      <c r="G17" s="281"/>
      <c r="I17" s="281"/>
    </row>
    <row r="18" spans="1:9" ht="20.25">
      <c r="A18" s="953" t="s">
        <v>4243</v>
      </c>
      <c r="B18" s="1044" t="s">
        <v>4107</v>
      </c>
      <c r="C18" s="101">
        <v>5</v>
      </c>
      <c r="D18" s="152" t="s">
        <v>3384</v>
      </c>
      <c r="E18" s="153">
        <f>'Update Descrip'!B166</f>
        <v>355.35</v>
      </c>
      <c r="F18" s="154" t="s">
        <v>855</v>
      </c>
      <c r="G18" s="281"/>
      <c r="I18" s="281"/>
    </row>
    <row r="19" spans="1:9" ht="20.25">
      <c r="A19" s="953" t="s">
        <v>4244</v>
      </c>
      <c r="B19" s="1044" t="s">
        <v>4108</v>
      </c>
      <c r="C19" s="101">
        <v>5</v>
      </c>
      <c r="D19" s="152" t="s">
        <v>3384</v>
      </c>
      <c r="E19" s="153">
        <f>'Update Descrip'!B181</f>
        <v>1332.56</v>
      </c>
      <c r="F19" s="154" t="s">
        <v>855</v>
      </c>
      <c r="G19" s="281"/>
      <c r="I19" s="281"/>
    </row>
    <row r="20" spans="1:9" ht="20.25">
      <c r="A20" s="953" t="s">
        <v>4245</v>
      </c>
      <c r="B20" s="1044" t="s">
        <v>4109</v>
      </c>
      <c r="C20" s="101">
        <v>5</v>
      </c>
      <c r="D20" s="152" t="s">
        <v>3384</v>
      </c>
      <c r="E20" s="153">
        <f>'Update Descrip'!B196</f>
        <v>596.55999999999995</v>
      </c>
      <c r="F20" s="154" t="s">
        <v>855</v>
      </c>
      <c r="G20" s="281"/>
      <c r="I20" s="281"/>
    </row>
    <row r="21" spans="1:9" ht="20.25">
      <c r="A21" s="953" t="s">
        <v>4246</v>
      </c>
      <c r="B21" s="1044" t="s">
        <v>4207</v>
      </c>
      <c r="C21" s="101">
        <v>6</v>
      </c>
      <c r="D21" s="152" t="s">
        <v>3384</v>
      </c>
      <c r="E21" s="153">
        <f>'Update Descrip'!B207</f>
        <v>436.71</v>
      </c>
      <c r="F21" s="154" t="s">
        <v>855</v>
      </c>
      <c r="G21" s="281"/>
      <c r="I21" s="281"/>
    </row>
    <row r="22" spans="1:9" ht="20.25">
      <c r="A22" s="953" t="s">
        <v>4247</v>
      </c>
      <c r="B22" s="1044" t="s">
        <v>4110</v>
      </c>
      <c r="C22" s="101">
        <v>6</v>
      </c>
      <c r="D22" s="152" t="s">
        <v>3384</v>
      </c>
      <c r="E22" s="153">
        <f>'Update Descrip'!B219</f>
        <v>2402.66</v>
      </c>
      <c r="F22" s="154" t="s">
        <v>2677</v>
      </c>
      <c r="G22" s="281"/>
      <c r="I22" s="281"/>
    </row>
    <row r="23" spans="1:9" ht="20.25">
      <c r="A23" s="953" t="s">
        <v>4248</v>
      </c>
      <c r="B23" s="1044" t="s">
        <v>4573</v>
      </c>
      <c r="C23" s="101">
        <v>6</v>
      </c>
      <c r="D23" s="152" t="s">
        <v>3384</v>
      </c>
      <c r="E23" s="153">
        <f>'Update Descrip'!B230</f>
        <v>1663.45</v>
      </c>
      <c r="F23" s="154" t="s">
        <v>855</v>
      </c>
      <c r="G23" s="281"/>
      <c r="I23" s="281"/>
    </row>
    <row r="24" spans="1:9" s="949" customFormat="1" ht="20.25">
      <c r="A24" s="953" t="s">
        <v>4527</v>
      </c>
      <c r="B24" s="1044" t="s">
        <v>4206</v>
      </c>
      <c r="C24" s="101">
        <v>6</v>
      </c>
      <c r="D24" s="152" t="s">
        <v>3384</v>
      </c>
      <c r="E24" s="153">
        <f>'Update Descrip'!D238</f>
        <v>17.25</v>
      </c>
      <c r="F24" s="1040" t="s">
        <v>4526</v>
      </c>
      <c r="G24" s="281"/>
      <c r="I24" s="281"/>
    </row>
    <row r="25" spans="1:9" s="1036" customFormat="1" ht="20.25">
      <c r="A25" s="953" t="s">
        <v>4528</v>
      </c>
      <c r="B25" s="1044" t="s">
        <v>4206</v>
      </c>
      <c r="C25" s="101">
        <v>6</v>
      </c>
      <c r="D25" s="152" t="s">
        <v>3384</v>
      </c>
      <c r="E25" s="153">
        <f>'Update Descrip'!D241</f>
        <v>172.5</v>
      </c>
      <c r="F25" s="1040" t="s">
        <v>4529</v>
      </c>
      <c r="G25" s="281"/>
      <c r="I25" s="281"/>
    </row>
    <row r="26" spans="1:9" s="949" customFormat="1" ht="20.25">
      <c r="A26" s="953" t="s">
        <v>4249</v>
      </c>
      <c r="B26" s="1045" t="s">
        <v>4208</v>
      </c>
      <c r="C26" s="101">
        <v>7</v>
      </c>
      <c r="D26" s="152" t="s">
        <v>3384</v>
      </c>
      <c r="E26" s="153">
        <f>'Update Descrip'!B252</f>
        <v>13.443499999999998</v>
      </c>
      <c r="F26" s="154" t="s">
        <v>855</v>
      </c>
      <c r="G26" s="281"/>
      <c r="I26" s="281"/>
    </row>
    <row r="27" spans="1:9" s="949" customFormat="1" ht="20.25">
      <c r="A27" s="953" t="s">
        <v>4250</v>
      </c>
      <c r="B27" s="1045" t="s">
        <v>4655</v>
      </c>
      <c r="C27" s="101">
        <v>7</v>
      </c>
      <c r="D27" s="152" t="s">
        <v>3384</v>
      </c>
      <c r="E27" s="153">
        <f>'Update Descrip'!B263</f>
        <v>239.12520000000001</v>
      </c>
      <c r="F27" s="154" t="s">
        <v>855</v>
      </c>
      <c r="G27" s="281"/>
      <c r="I27" s="281"/>
    </row>
    <row r="28" spans="1:9" s="949" customFormat="1" ht="20.25">
      <c r="A28" s="953" t="s">
        <v>4251</v>
      </c>
      <c r="B28" s="1044" t="s">
        <v>4668</v>
      </c>
      <c r="C28" s="101">
        <v>7</v>
      </c>
      <c r="D28" s="152" t="s">
        <v>3384</v>
      </c>
      <c r="E28" s="153">
        <f>'Update Descrip'!B274</f>
        <v>35.589999999999996</v>
      </c>
      <c r="F28" s="154" t="s">
        <v>855</v>
      </c>
      <c r="G28" s="281"/>
      <c r="I28" s="281"/>
    </row>
    <row r="29" spans="1:9" s="949" customFormat="1" ht="20.25">
      <c r="A29" s="953" t="s">
        <v>4252</v>
      </c>
      <c r="B29" s="1045" t="s">
        <v>4669</v>
      </c>
      <c r="C29" s="101">
        <v>7</v>
      </c>
      <c r="D29" s="152" t="s">
        <v>3384</v>
      </c>
      <c r="E29" s="153">
        <f>'Update Descrip'!B285</f>
        <v>42.78</v>
      </c>
      <c r="F29" s="154" t="s">
        <v>855</v>
      </c>
      <c r="G29" s="281"/>
      <c r="I29" s="281"/>
    </row>
    <row r="30" spans="1:9" s="949" customFormat="1" ht="10.5" customHeight="1">
      <c r="A30" s="953"/>
      <c r="B30" s="95"/>
      <c r="C30" s="149"/>
      <c r="D30" s="152"/>
      <c r="E30" s="153"/>
      <c r="F30" s="154"/>
      <c r="G30" s="281"/>
      <c r="I30" s="281"/>
    </row>
    <row r="31" spans="1:9" ht="18.75" customHeight="1">
      <c r="A31" s="1203" t="s">
        <v>3475</v>
      </c>
      <c r="B31" s="1203"/>
      <c r="C31" s="1203"/>
      <c r="D31" s="1203"/>
      <c r="E31" s="1203"/>
      <c r="F31" s="1203"/>
      <c r="G31" s="281"/>
      <c r="I31" s="281"/>
    </row>
    <row r="32" spans="1:9" ht="20.25">
      <c r="A32" s="953" t="s">
        <v>4253</v>
      </c>
      <c r="B32" s="1044" t="s">
        <v>1342</v>
      </c>
      <c r="C32" s="101">
        <v>8</v>
      </c>
      <c r="D32" s="152" t="s">
        <v>3384</v>
      </c>
      <c r="E32" s="153">
        <f>'Update Descrip'!B302</f>
        <v>9805.27</v>
      </c>
      <c r="F32" s="154" t="s">
        <v>855</v>
      </c>
      <c r="G32" s="281"/>
      <c r="I32" s="281"/>
    </row>
    <row r="33" spans="1:9" ht="20.25">
      <c r="A33" s="953" t="s">
        <v>4254</v>
      </c>
      <c r="B33" s="1044" t="s">
        <v>1343</v>
      </c>
      <c r="C33" s="101">
        <v>8</v>
      </c>
      <c r="D33" s="152" t="s">
        <v>3384</v>
      </c>
      <c r="E33" s="153">
        <f>'Update Descrip'!$B$329</f>
        <v>10027.36</v>
      </c>
      <c r="F33" s="154" t="s">
        <v>855</v>
      </c>
      <c r="G33" s="281"/>
      <c r="I33" s="281"/>
    </row>
    <row r="34" spans="1:9" ht="20.25">
      <c r="A34" s="953" t="s">
        <v>4255</v>
      </c>
      <c r="B34" s="1044" t="s">
        <v>4574</v>
      </c>
      <c r="C34" s="101">
        <v>9</v>
      </c>
      <c r="D34" s="152" t="s">
        <v>3384</v>
      </c>
      <c r="E34" s="153">
        <f>'Update Descrip'!$B$347</f>
        <v>9306.75</v>
      </c>
      <c r="F34" s="154" t="s">
        <v>855</v>
      </c>
      <c r="G34" s="281"/>
      <c r="I34" s="281"/>
    </row>
    <row r="35" spans="1:9" ht="20.25">
      <c r="A35" s="953" t="s">
        <v>4256</v>
      </c>
      <c r="B35" s="1044" t="s">
        <v>4575</v>
      </c>
      <c r="C35" s="101">
        <v>9</v>
      </c>
      <c r="D35" s="152" t="s">
        <v>3384</v>
      </c>
      <c r="E35" s="153">
        <f>'Update Descrip'!$B$372</f>
        <v>9528.84</v>
      </c>
      <c r="F35" s="154" t="s">
        <v>855</v>
      </c>
      <c r="G35" s="281"/>
      <c r="I35" s="281"/>
    </row>
    <row r="36" spans="1:9" ht="20.25">
      <c r="A36" s="953" t="s">
        <v>4257</v>
      </c>
      <c r="B36" s="1044" t="s">
        <v>1850</v>
      </c>
      <c r="C36" s="101">
        <v>10</v>
      </c>
      <c r="D36" s="152" t="s">
        <v>3384</v>
      </c>
      <c r="E36" s="153">
        <f>'Update Descrip'!B389</f>
        <v>8868.36</v>
      </c>
      <c r="F36" s="154" t="s">
        <v>855</v>
      </c>
      <c r="G36" s="281"/>
      <c r="I36" s="281"/>
    </row>
    <row r="37" spans="1:9" ht="20.25">
      <c r="A37" s="953" t="s">
        <v>4258</v>
      </c>
      <c r="B37" s="1044" t="s">
        <v>423</v>
      </c>
      <c r="C37" s="101">
        <v>10</v>
      </c>
      <c r="D37" s="152" t="s">
        <v>3384</v>
      </c>
      <c r="E37" s="153">
        <f>'Update Descrip'!B414</f>
        <v>9090.4500000000007</v>
      </c>
      <c r="F37" s="154" t="s">
        <v>855</v>
      </c>
      <c r="G37" s="281"/>
      <c r="I37" s="281"/>
    </row>
    <row r="38" spans="1:9" ht="20.25">
      <c r="A38" s="953" t="s">
        <v>4259</v>
      </c>
      <c r="B38" s="1044" t="s">
        <v>1220</v>
      </c>
      <c r="C38" s="101">
        <v>11</v>
      </c>
      <c r="D38" s="152" t="s">
        <v>3384</v>
      </c>
      <c r="E38" s="153">
        <f>'Update Descrip'!$B$431</f>
        <v>9454.52</v>
      </c>
      <c r="F38" s="154" t="s">
        <v>855</v>
      </c>
      <c r="G38" s="281"/>
      <c r="I38" s="281"/>
    </row>
    <row r="39" spans="1:9" ht="20.25">
      <c r="A39" s="953" t="s">
        <v>4260</v>
      </c>
      <c r="B39" s="1044" t="s">
        <v>444</v>
      </c>
      <c r="C39" s="101">
        <v>11</v>
      </c>
      <c r="D39" s="152" t="s">
        <v>3384</v>
      </c>
      <c r="E39" s="153">
        <f>'Update Descrip'!$B$454</f>
        <v>9676.61</v>
      </c>
      <c r="F39" s="154" t="s">
        <v>855</v>
      </c>
      <c r="G39" s="281"/>
      <c r="I39" s="281"/>
    </row>
    <row r="40" spans="1:9" ht="20.25">
      <c r="A40" s="953" t="s">
        <v>4261</v>
      </c>
      <c r="B40" s="1044" t="s">
        <v>3009</v>
      </c>
      <c r="C40" s="101">
        <v>12</v>
      </c>
      <c r="D40" s="152" t="s">
        <v>3384</v>
      </c>
      <c r="E40" s="153">
        <f>'Update Descrip'!$B$471</f>
        <v>8977.9500000000007</v>
      </c>
      <c r="F40" s="154" t="s">
        <v>855</v>
      </c>
      <c r="G40" s="281"/>
      <c r="I40" s="281"/>
    </row>
    <row r="41" spans="1:9" ht="20.25">
      <c r="A41" s="953" t="s">
        <v>4262</v>
      </c>
      <c r="B41" s="1044" t="s">
        <v>3010</v>
      </c>
      <c r="C41" s="101">
        <v>12</v>
      </c>
      <c r="D41" s="152" t="s">
        <v>3384</v>
      </c>
      <c r="E41" s="153">
        <f>'Update Descrip'!$B$495</f>
        <v>9200.0400000000009</v>
      </c>
      <c r="F41" s="154" t="s">
        <v>855</v>
      </c>
      <c r="G41" s="281"/>
      <c r="I41" s="281"/>
    </row>
    <row r="42" spans="1:9" ht="20.25">
      <c r="A42" s="953" t="s">
        <v>4263</v>
      </c>
      <c r="B42" s="1044" t="s">
        <v>999</v>
      </c>
      <c r="C42" s="101">
        <v>13</v>
      </c>
      <c r="D42" s="152" t="s">
        <v>3384</v>
      </c>
      <c r="E42" s="153">
        <f>'Update Descrip'!B512</f>
        <v>8517.61</v>
      </c>
      <c r="F42" s="154" t="s">
        <v>855</v>
      </c>
      <c r="G42" s="281"/>
      <c r="I42" s="281"/>
    </row>
    <row r="43" spans="1:9" ht="20.25">
      <c r="A43" s="953" t="s">
        <v>4264</v>
      </c>
      <c r="B43" s="1044" t="s">
        <v>1175</v>
      </c>
      <c r="C43" s="101">
        <v>13</v>
      </c>
      <c r="D43" s="152" t="s">
        <v>3384</v>
      </c>
      <c r="E43" s="153">
        <f>'Update Descrip'!$B$537</f>
        <v>8739.7000000000007</v>
      </c>
      <c r="F43" s="154" t="s">
        <v>855</v>
      </c>
      <c r="G43" s="281"/>
      <c r="I43" s="281"/>
    </row>
    <row r="44" spans="1:9" ht="20.25">
      <c r="A44" s="953" t="s">
        <v>4265</v>
      </c>
      <c r="B44" s="1044" t="s">
        <v>965</v>
      </c>
      <c r="C44" s="101">
        <v>14</v>
      </c>
      <c r="D44" s="152" t="s">
        <v>3384</v>
      </c>
      <c r="E44" s="153">
        <f>'Update Descrip'!$B$553</f>
        <v>6390.7199999999993</v>
      </c>
      <c r="F44" s="154" t="s">
        <v>855</v>
      </c>
      <c r="G44" s="281"/>
      <c r="I44" s="281"/>
    </row>
    <row r="45" spans="1:9" ht="20.25">
      <c r="A45" s="953" t="s">
        <v>4266</v>
      </c>
      <c r="B45" s="1044" t="s">
        <v>4530</v>
      </c>
      <c r="C45" s="101">
        <v>14</v>
      </c>
      <c r="D45" s="152" t="s">
        <v>3384</v>
      </c>
      <c r="E45" s="153">
        <f>'Update Descrip'!$B$576</f>
        <v>561.87699999999995</v>
      </c>
      <c r="F45" s="154" t="s">
        <v>3170</v>
      </c>
      <c r="G45" s="281"/>
      <c r="I45" s="281"/>
    </row>
    <row r="46" spans="1:9" s="949" customFormat="1" ht="20.25">
      <c r="A46" s="953" t="s">
        <v>4267</v>
      </c>
      <c r="B46" s="1044" t="s">
        <v>4111</v>
      </c>
      <c r="C46" s="101">
        <v>15</v>
      </c>
      <c r="D46" s="152" t="s">
        <v>3384</v>
      </c>
      <c r="E46" s="153">
        <f>'Update Descrip'!B593</f>
        <v>6344.98</v>
      </c>
      <c r="F46" s="154" t="s">
        <v>855</v>
      </c>
      <c r="G46" s="281"/>
      <c r="I46" s="281"/>
    </row>
    <row r="47" spans="1:9" s="949" customFormat="1" ht="7.5" customHeight="1">
      <c r="A47" s="953"/>
      <c r="B47" s="95"/>
      <c r="C47" s="101"/>
      <c r="D47" s="152"/>
      <c r="E47" s="153"/>
      <c r="F47" s="154"/>
      <c r="G47" s="281"/>
      <c r="I47" s="281"/>
    </row>
    <row r="48" spans="1:9" ht="18.75" customHeight="1">
      <c r="A48" s="1203" t="s">
        <v>3476</v>
      </c>
      <c r="B48" s="1203"/>
      <c r="C48" s="1203"/>
      <c r="D48" s="1203"/>
      <c r="E48" s="1203"/>
      <c r="F48" s="1203"/>
      <c r="G48" s="281"/>
      <c r="I48" s="281"/>
    </row>
    <row r="49" spans="1:9" ht="18">
      <c r="A49" s="947"/>
      <c r="G49" s="281"/>
      <c r="I49" s="281"/>
    </row>
    <row r="50" spans="1:9" ht="20.25">
      <c r="A50" s="953" t="s">
        <v>4268</v>
      </c>
      <c r="B50" s="1044" t="s">
        <v>1001</v>
      </c>
      <c r="C50" s="101">
        <v>15</v>
      </c>
      <c r="D50" s="152" t="s">
        <v>3384</v>
      </c>
      <c r="E50" s="153">
        <f>'Update Descrip'!$B$617</f>
        <v>8941.9699999999993</v>
      </c>
      <c r="F50" s="154" t="s">
        <v>855</v>
      </c>
      <c r="G50" s="281"/>
      <c r="I50" s="281"/>
    </row>
    <row r="51" spans="1:9" ht="20.25">
      <c r="A51" s="953" t="s">
        <v>4269</v>
      </c>
      <c r="B51" s="1044" t="s">
        <v>642</v>
      </c>
      <c r="C51" s="101">
        <v>16</v>
      </c>
      <c r="D51" s="152" t="s">
        <v>3384</v>
      </c>
      <c r="E51" s="153">
        <f>'Update Descrip'!$B$634</f>
        <v>8421.93</v>
      </c>
      <c r="F51" s="154" t="s">
        <v>855</v>
      </c>
      <c r="G51" s="281"/>
      <c r="I51" s="281"/>
    </row>
    <row r="52" spans="1:9" ht="20.25">
      <c r="A52" s="953" t="s">
        <v>4270</v>
      </c>
      <c r="B52" s="1044" t="s">
        <v>643</v>
      </c>
      <c r="C52" s="101">
        <v>16</v>
      </c>
      <c r="D52" s="152" t="s">
        <v>3384</v>
      </c>
      <c r="E52" s="153">
        <f>'Update Descrip'!$B$650</f>
        <v>7585.9800000000005</v>
      </c>
      <c r="F52" s="154" t="s">
        <v>855</v>
      </c>
      <c r="G52" s="281"/>
      <c r="I52" s="281"/>
    </row>
    <row r="53" spans="1:9" ht="20.25">
      <c r="A53" s="953" t="s">
        <v>4271</v>
      </c>
      <c r="B53" s="1044" t="s">
        <v>1077</v>
      </c>
      <c r="C53" s="101">
        <v>16</v>
      </c>
      <c r="D53" s="152" t="s">
        <v>3384</v>
      </c>
      <c r="E53" s="153">
        <f>'Update Descrip'!$B$663</f>
        <v>3342.2599999999998</v>
      </c>
      <c r="F53" s="154" t="s">
        <v>855</v>
      </c>
      <c r="G53" s="281"/>
      <c r="I53" s="281"/>
    </row>
    <row r="54" spans="1:9" ht="20.25">
      <c r="A54" s="953" t="s">
        <v>4272</v>
      </c>
      <c r="B54" s="1044" t="s">
        <v>4576</v>
      </c>
      <c r="C54" s="101">
        <v>17</v>
      </c>
      <c r="D54" s="152" t="s">
        <v>3384</v>
      </c>
      <c r="E54" s="153">
        <f>'Update Descrip'!$B$678</f>
        <v>3576.46</v>
      </c>
      <c r="F54" s="154" t="s">
        <v>855</v>
      </c>
      <c r="G54" s="281"/>
      <c r="I54" s="281"/>
    </row>
    <row r="55" spans="1:9" ht="20.25">
      <c r="A55" s="953" t="s">
        <v>4273</v>
      </c>
      <c r="B55" s="1044" t="s">
        <v>4112</v>
      </c>
      <c r="C55" s="101">
        <v>17</v>
      </c>
      <c r="D55" s="152" t="s">
        <v>3384</v>
      </c>
      <c r="E55" s="153">
        <f>'Update Descrip'!D694</f>
        <v>7189.04</v>
      </c>
      <c r="F55" s="154" t="s">
        <v>855</v>
      </c>
      <c r="G55" s="281"/>
      <c r="I55" s="281"/>
    </row>
    <row r="56" spans="1:9" ht="20.25">
      <c r="A56" s="953" t="s">
        <v>4274</v>
      </c>
      <c r="B56" s="1044" t="s">
        <v>4577</v>
      </c>
      <c r="C56" s="101">
        <v>17</v>
      </c>
      <c r="D56" s="152" t="s">
        <v>3384</v>
      </c>
      <c r="E56" s="153">
        <f>'Update Descrip'!B708</f>
        <v>2693.43</v>
      </c>
      <c r="F56" s="154" t="s">
        <v>855</v>
      </c>
      <c r="G56" s="281"/>
      <c r="I56" s="281"/>
    </row>
    <row r="57" spans="1:9" ht="18">
      <c r="A57" s="947"/>
      <c r="G57" s="281"/>
      <c r="I57" s="281"/>
    </row>
    <row r="58" spans="1:9" ht="18.75" customHeight="1">
      <c r="A58" s="1203" t="s">
        <v>3477</v>
      </c>
      <c r="B58" s="1203"/>
      <c r="C58" s="1203"/>
      <c r="D58" s="1203"/>
      <c r="E58" s="1203"/>
      <c r="F58" s="1203"/>
      <c r="G58" s="281"/>
      <c r="I58" s="281"/>
    </row>
    <row r="59" spans="1:9" s="949" customFormat="1" ht="18.75" customHeight="1">
      <c r="A59" s="950"/>
      <c r="B59" s="950"/>
      <c r="C59" s="950"/>
      <c r="D59" s="950"/>
      <c r="E59" s="950"/>
      <c r="F59" s="950"/>
      <c r="G59" s="281"/>
      <c r="I59" s="281"/>
    </row>
    <row r="60" spans="1:9" ht="23.25">
      <c r="A60" s="953" t="s">
        <v>4275</v>
      </c>
      <c r="B60" s="1044" t="s">
        <v>4113</v>
      </c>
      <c r="C60" s="101">
        <v>18</v>
      </c>
      <c r="D60" s="152" t="s">
        <v>3384</v>
      </c>
      <c r="E60" s="1041" t="s">
        <v>3173</v>
      </c>
      <c r="F60" s="154" t="s">
        <v>855</v>
      </c>
      <c r="G60" s="281"/>
      <c r="I60" s="281"/>
    </row>
    <row r="61" spans="1:9" ht="20.25">
      <c r="A61" s="953" t="s">
        <v>4276</v>
      </c>
      <c r="B61" s="1044" t="s">
        <v>4531</v>
      </c>
      <c r="C61" s="101">
        <v>18</v>
      </c>
      <c r="D61" s="152" t="s">
        <v>3384</v>
      </c>
      <c r="E61" s="153">
        <f>'Update Descrip'!B738</f>
        <v>7929.3300000000008</v>
      </c>
      <c r="F61" s="154" t="s">
        <v>855</v>
      </c>
      <c r="G61" s="281"/>
      <c r="I61" s="281"/>
    </row>
    <row r="62" spans="1:9" ht="20.25">
      <c r="A62" s="953" t="s">
        <v>4277</v>
      </c>
      <c r="B62" s="1044" t="s">
        <v>4532</v>
      </c>
      <c r="C62" s="101">
        <v>18</v>
      </c>
      <c r="D62" s="152" t="s">
        <v>3384</v>
      </c>
      <c r="E62" s="153">
        <f>'Update Descrip'!B754</f>
        <v>8751.58</v>
      </c>
      <c r="F62" s="154" t="s">
        <v>855</v>
      </c>
      <c r="G62" s="281"/>
      <c r="I62" s="281"/>
    </row>
    <row r="63" spans="1:9" ht="20.25">
      <c r="A63" s="953" t="s">
        <v>4278</v>
      </c>
      <c r="B63" s="1044" t="s">
        <v>4114</v>
      </c>
      <c r="C63" s="101">
        <v>19</v>
      </c>
      <c r="D63" s="95" t="s">
        <v>3384</v>
      </c>
      <c r="E63" s="153">
        <f>'Update Descrip'!B770</f>
        <v>10246.01</v>
      </c>
      <c r="F63" s="154" t="s">
        <v>855</v>
      </c>
      <c r="G63" s="281"/>
      <c r="I63" s="281"/>
    </row>
    <row r="64" spans="1:9" ht="20.25">
      <c r="A64" s="953" t="s">
        <v>4279</v>
      </c>
      <c r="B64" s="1044" t="s">
        <v>4654</v>
      </c>
      <c r="C64" s="101">
        <v>19</v>
      </c>
      <c r="D64" s="152" t="s">
        <v>3384</v>
      </c>
      <c r="E64" s="153">
        <f>'Update Descrip'!B792</f>
        <v>11419.01</v>
      </c>
      <c r="F64" s="154" t="s">
        <v>855</v>
      </c>
      <c r="G64" s="281"/>
      <c r="I64" s="281"/>
    </row>
    <row r="65" spans="1:9" ht="20.25">
      <c r="A65" s="953" t="s">
        <v>4280</v>
      </c>
      <c r="B65" s="1044" t="s">
        <v>4653</v>
      </c>
      <c r="C65" s="101">
        <v>20</v>
      </c>
      <c r="D65" s="152" t="s">
        <v>3384</v>
      </c>
      <c r="E65" s="153">
        <f>'Update Descrip'!B808</f>
        <v>12729.230000000001</v>
      </c>
      <c r="F65" s="154" t="s">
        <v>855</v>
      </c>
      <c r="G65" s="281"/>
      <c r="I65" s="281"/>
    </row>
    <row r="66" spans="1:9" ht="20.25">
      <c r="A66" s="953" t="s">
        <v>4281</v>
      </c>
      <c r="B66" s="1044" t="s">
        <v>4115</v>
      </c>
      <c r="C66" s="101">
        <v>20</v>
      </c>
      <c r="D66" s="152" t="s">
        <v>3384</v>
      </c>
      <c r="E66" s="153">
        <f>'Update Descrip'!B831</f>
        <v>16181.589999999998</v>
      </c>
      <c r="F66" s="154" t="s">
        <v>855</v>
      </c>
      <c r="G66" s="281"/>
      <c r="I66" s="281"/>
    </row>
    <row r="67" spans="1:9" ht="20.25">
      <c r="A67" s="953" t="s">
        <v>4282</v>
      </c>
      <c r="B67" s="1044" t="s">
        <v>4116</v>
      </c>
      <c r="C67" s="101">
        <v>21</v>
      </c>
      <c r="D67" s="152" t="s">
        <v>3384</v>
      </c>
      <c r="E67" s="153">
        <f>'Update Descrip'!B851</f>
        <v>9823.17</v>
      </c>
      <c r="F67" s="154" t="s">
        <v>855</v>
      </c>
      <c r="G67" s="281"/>
      <c r="I67" s="281"/>
    </row>
    <row r="68" spans="1:9" ht="20.25">
      <c r="A68" s="953" t="s">
        <v>4283</v>
      </c>
      <c r="B68" s="1044" t="s">
        <v>4117</v>
      </c>
      <c r="C68" s="101">
        <v>21</v>
      </c>
      <c r="D68" s="152" t="s">
        <v>3384</v>
      </c>
      <c r="E68" s="153">
        <f>'Update Descrip'!B877</f>
        <v>11425.82</v>
      </c>
      <c r="F68" s="154" t="s">
        <v>855</v>
      </c>
      <c r="G68" s="281"/>
      <c r="I68" s="281"/>
    </row>
    <row r="69" spans="1:9" ht="20.25">
      <c r="A69" s="953" t="s">
        <v>4284</v>
      </c>
      <c r="B69" s="1044" t="s">
        <v>4118</v>
      </c>
      <c r="C69" s="101">
        <v>22</v>
      </c>
      <c r="D69" s="152" t="s">
        <v>3384</v>
      </c>
      <c r="E69" s="153">
        <f>'Update Descrip'!B897</f>
        <v>12719.460000000001</v>
      </c>
      <c r="F69" s="154" t="s">
        <v>855</v>
      </c>
      <c r="G69" s="281"/>
      <c r="I69" s="281"/>
    </row>
    <row r="70" spans="1:9" ht="20.25">
      <c r="A70" s="953" t="s">
        <v>4285</v>
      </c>
      <c r="B70" s="1044" t="s">
        <v>4119</v>
      </c>
      <c r="C70" s="101">
        <v>22</v>
      </c>
      <c r="D70" s="152" t="s">
        <v>3384</v>
      </c>
      <c r="E70" s="153">
        <f>'Update Descrip'!B922</f>
        <v>16171.81</v>
      </c>
      <c r="F70" s="154" t="s">
        <v>855</v>
      </c>
      <c r="G70" s="281"/>
      <c r="I70" s="281"/>
    </row>
    <row r="71" spans="1:9" s="949" customFormat="1" ht="20.25">
      <c r="A71" s="953" t="s">
        <v>4286</v>
      </c>
      <c r="B71" s="1044" t="s">
        <v>4209</v>
      </c>
      <c r="C71" s="101">
        <v>23</v>
      </c>
      <c r="D71" s="152" t="s">
        <v>3384</v>
      </c>
      <c r="E71" s="153">
        <f>'Update Descrip'!B943</f>
        <v>32504.91</v>
      </c>
      <c r="F71" s="154" t="s">
        <v>855</v>
      </c>
      <c r="G71" s="281"/>
      <c r="I71" s="281"/>
    </row>
    <row r="72" spans="1:9" s="949" customFormat="1" ht="20.25">
      <c r="A72" s="953" t="s">
        <v>4287</v>
      </c>
      <c r="B72" s="1044" t="s">
        <v>4578</v>
      </c>
      <c r="C72" s="101">
        <v>23</v>
      </c>
      <c r="D72" s="152" t="s">
        <v>3384</v>
      </c>
      <c r="E72" s="153">
        <f>'Update Descrip'!B961</f>
        <v>12480.6</v>
      </c>
      <c r="F72" s="154" t="s">
        <v>855</v>
      </c>
      <c r="G72" s="281"/>
      <c r="I72" s="281"/>
    </row>
    <row r="73" spans="1:9" s="949" customFormat="1" ht="20.25">
      <c r="A73" s="953" t="s">
        <v>4288</v>
      </c>
      <c r="B73" s="1044" t="s">
        <v>4210</v>
      </c>
      <c r="C73" s="101">
        <v>24</v>
      </c>
      <c r="D73" s="152" t="s">
        <v>3384</v>
      </c>
      <c r="E73" s="153">
        <f>'Update Descrip'!B979</f>
        <v>15637.52</v>
      </c>
      <c r="F73" s="154" t="s">
        <v>855</v>
      </c>
      <c r="G73" s="281"/>
      <c r="I73" s="281"/>
    </row>
    <row r="74" spans="1:9" s="949" customFormat="1" ht="20.25">
      <c r="A74" s="953" t="s">
        <v>4289</v>
      </c>
      <c r="B74" s="1044" t="s">
        <v>4211</v>
      </c>
      <c r="C74" s="101">
        <v>24</v>
      </c>
      <c r="D74" s="152" t="s">
        <v>3384</v>
      </c>
      <c r="E74" s="153">
        <f>'Update Descrip'!B992</f>
        <v>111065.39000000001</v>
      </c>
      <c r="F74" s="666" t="s">
        <v>2228</v>
      </c>
      <c r="G74" s="281"/>
      <c r="I74" s="281"/>
    </row>
    <row r="75" spans="1:9" ht="18">
      <c r="A75" s="947"/>
      <c r="G75" s="281"/>
      <c r="I75" s="281"/>
    </row>
    <row r="76" spans="1:9" ht="18.75" customHeight="1">
      <c r="A76" s="1203" t="s">
        <v>3478</v>
      </c>
      <c r="B76" s="1203"/>
      <c r="C76" s="1203"/>
      <c r="D76" s="1203"/>
      <c r="E76" s="1203"/>
      <c r="F76" s="1203"/>
      <c r="G76" s="281"/>
      <c r="I76" s="281"/>
    </row>
    <row r="77" spans="1:9" ht="18">
      <c r="A77" s="947"/>
      <c r="G77" s="281"/>
      <c r="I77" s="281"/>
    </row>
    <row r="78" spans="1:9" ht="20.25">
      <c r="A78" s="953" t="s">
        <v>4290</v>
      </c>
      <c r="B78" s="1044" t="s">
        <v>2122</v>
      </c>
      <c r="C78" s="101">
        <v>24</v>
      </c>
      <c r="D78" s="152" t="s">
        <v>3384</v>
      </c>
      <c r="E78" s="153">
        <f>'Update Descrip'!$D$1005</f>
        <v>514.59</v>
      </c>
      <c r="F78" s="154" t="s">
        <v>3170</v>
      </c>
      <c r="G78" s="281"/>
      <c r="I78" s="281"/>
    </row>
    <row r="79" spans="1:9" ht="20.25">
      <c r="A79" s="953" t="s">
        <v>4291</v>
      </c>
      <c r="B79" s="1044" t="s">
        <v>2123</v>
      </c>
      <c r="C79" s="101">
        <v>25</v>
      </c>
      <c r="D79" s="152" t="s">
        <v>3384</v>
      </c>
      <c r="E79" s="153">
        <f>'Update Descrip'!$D$1020</f>
        <v>768.65</v>
      </c>
      <c r="F79" s="154" t="s">
        <v>3170</v>
      </c>
      <c r="G79" s="281"/>
      <c r="I79" s="281"/>
    </row>
    <row r="80" spans="1:9" ht="20.25">
      <c r="A80" s="953" t="s">
        <v>4292</v>
      </c>
      <c r="B80" s="1044" t="s">
        <v>2105</v>
      </c>
      <c r="C80" s="101">
        <v>25</v>
      </c>
      <c r="D80" s="152" t="s">
        <v>3384</v>
      </c>
      <c r="E80" s="153">
        <f>'Update Descrip'!D1041</f>
        <v>604.99</v>
      </c>
      <c r="F80" s="154" t="s">
        <v>3170</v>
      </c>
      <c r="G80" s="281"/>
      <c r="I80" s="281"/>
    </row>
    <row r="81" spans="1:9" ht="20.25">
      <c r="A81" s="953" t="s">
        <v>4293</v>
      </c>
      <c r="B81" s="1044" t="s">
        <v>1218</v>
      </c>
      <c r="C81" s="101">
        <v>26</v>
      </c>
      <c r="D81" s="152" t="s">
        <v>3384</v>
      </c>
      <c r="E81" s="153">
        <f>'Update Descrip'!$D$1061</f>
        <v>800.16</v>
      </c>
      <c r="F81" s="154" t="s">
        <v>3170</v>
      </c>
      <c r="G81" s="281"/>
      <c r="I81" s="281"/>
    </row>
    <row r="82" spans="1:9" ht="20.25">
      <c r="A82" s="953" t="s">
        <v>4294</v>
      </c>
      <c r="B82" s="1044" t="s">
        <v>2737</v>
      </c>
      <c r="C82" s="101">
        <v>26</v>
      </c>
      <c r="D82" s="152" t="s">
        <v>3384</v>
      </c>
      <c r="E82" s="153">
        <f>'Update Descrip'!$D$1083</f>
        <v>633.61</v>
      </c>
      <c r="F82" s="154" t="s">
        <v>3170</v>
      </c>
      <c r="G82" s="281"/>
      <c r="I82" s="281"/>
    </row>
    <row r="83" spans="1:9" ht="20.25">
      <c r="A83" s="953" t="s">
        <v>4295</v>
      </c>
      <c r="B83" s="1044" t="s">
        <v>2231</v>
      </c>
      <c r="C83" s="101">
        <v>27</v>
      </c>
      <c r="D83" s="152" t="s">
        <v>3384</v>
      </c>
      <c r="E83" s="153">
        <f>'Update Descrip'!$D$1099</f>
        <v>778.2</v>
      </c>
      <c r="F83" s="154" t="s">
        <v>3170</v>
      </c>
      <c r="G83" s="281"/>
      <c r="I83" s="281"/>
    </row>
    <row r="84" spans="1:9" ht="20.25">
      <c r="A84" s="953" t="s">
        <v>4296</v>
      </c>
      <c r="B84" s="1044" t="s">
        <v>1107</v>
      </c>
      <c r="C84" s="101">
        <v>27</v>
      </c>
      <c r="D84" s="152" t="s">
        <v>3384</v>
      </c>
      <c r="E84" s="153">
        <f>'Update Descrip'!D1128</f>
        <v>925.35</v>
      </c>
      <c r="F84" s="154" t="s">
        <v>3170</v>
      </c>
      <c r="G84" s="281"/>
      <c r="I84" s="281"/>
    </row>
    <row r="85" spans="1:9" ht="20.25">
      <c r="A85" s="953" t="s">
        <v>4297</v>
      </c>
      <c r="B85" s="1044" t="s">
        <v>2738</v>
      </c>
      <c r="C85" s="101">
        <v>28</v>
      </c>
      <c r="D85" s="152" t="s">
        <v>3384</v>
      </c>
      <c r="E85" s="153">
        <f>'Update Descrip'!D1148</f>
        <v>165.88</v>
      </c>
      <c r="F85" s="154" t="s">
        <v>3170</v>
      </c>
      <c r="G85" s="281"/>
      <c r="I85" s="281"/>
    </row>
    <row r="86" spans="1:9" ht="20.25">
      <c r="A86" s="953" t="s">
        <v>4298</v>
      </c>
      <c r="B86" s="1044" t="s">
        <v>3007</v>
      </c>
      <c r="C86" s="101">
        <v>28</v>
      </c>
      <c r="D86" s="152" t="s">
        <v>3384</v>
      </c>
      <c r="E86" s="153">
        <f>'Update Descrip'!D1174</f>
        <v>172.33</v>
      </c>
      <c r="F86" s="154" t="s">
        <v>3170</v>
      </c>
      <c r="G86" s="281"/>
      <c r="I86" s="281"/>
    </row>
    <row r="87" spans="1:9">
      <c r="A87" s="954"/>
      <c r="G87" s="281"/>
      <c r="I87" s="281"/>
    </row>
    <row r="88" spans="1:9" ht="18.75" customHeight="1">
      <c r="A88" s="1203" t="s">
        <v>3479</v>
      </c>
      <c r="B88" s="1203"/>
      <c r="C88" s="1203"/>
      <c r="D88" s="1203"/>
      <c r="E88" s="1203"/>
      <c r="F88" s="1203"/>
      <c r="G88" s="281"/>
      <c r="I88" s="281"/>
    </row>
    <row r="89" spans="1:9" ht="11.25" customHeight="1">
      <c r="A89" s="947"/>
      <c r="G89" s="281"/>
      <c r="I89" s="281"/>
    </row>
    <row r="90" spans="1:9" ht="21.75" customHeight="1">
      <c r="A90" s="955" t="s">
        <v>4299</v>
      </c>
      <c r="B90" s="1044" t="s">
        <v>1108</v>
      </c>
      <c r="C90" s="101">
        <v>29</v>
      </c>
      <c r="D90" s="152" t="s">
        <v>3384</v>
      </c>
      <c r="E90" s="153">
        <f>'Update Descrip'!D1188</f>
        <v>872.68</v>
      </c>
      <c r="F90" s="154" t="s">
        <v>3170</v>
      </c>
      <c r="G90" s="281"/>
      <c r="I90" s="281"/>
    </row>
    <row r="91" spans="1:9" ht="22.5" customHeight="1">
      <c r="A91" s="955" t="s">
        <v>4300</v>
      </c>
      <c r="B91" s="1044" t="s">
        <v>4120</v>
      </c>
      <c r="C91" s="101">
        <v>29</v>
      </c>
      <c r="D91" s="152" t="s">
        <v>3384</v>
      </c>
      <c r="E91" s="153">
        <f>'Update Descrip'!D1204</f>
        <v>817.26</v>
      </c>
      <c r="F91" s="154" t="s">
        <v>3170</v>
      </c>
      <c r="G91" s="281"/>
      <c r="I91" s="281"/>
    </row>
    <row r="92" spans="1:9" ht="22.5" customHeight="1">
      <c r="A92" s="955" t="s">
        <v>4301</v>
      </c>
      <c r="B92" s="1044" t="s">
        <v>4121</v>
      </c>
      <c r="C92" s="101">
        <v>29</v>
      </c>
      <c r="D92" s="152" t="s">
        <v>3384</v>
      </c>
      <c r="E92" s="153">
        <f>'Update Descrip'!D1221</f>
        <v>768.09</v>
      </c>
      <c r="F92" s="154" t="s">
        <v>3170</v>
      </c>
      <c r="G92" s="281"/>
      <c r="I92" s="281"/>
    </row>
    <row r="93" spans="1:9" ht="22.5" customHeight="1">
      <c r="A93" s="955" t="s">
        <v>4533</v>
      </c>
      <c r="B93" s="1044" t="s">
        <v>4652</v>
      </c>
      <c r="C93" s="101">
        <v>30</v>
      </c>
      <c r="D93" s="152" t="s">
        <v>3384</v>
      </c>
      <c r="E93" s="153">
        <f>'Update Descrip'!D1236</f>
        <v>996.91</v>
      </c>
      <c r="F93" s="154" t="s">
        <v>3170</v>
      </c>
      <c r="G93" s="281"/>
      <c r="I93" s="281"/>
    </row>
    <row r="94" spans="1:9" s="1036" customFormat="1" ht="22.5" customHeight="1">
      <c r="A94" s="955" t="s">
        <v>4534</v>
      </c>
      <c r="B94" s="1044" t="s">
        <v>4651</v>
      </c>
      <c r="C94" s="101">
        <v>30</v>
      </c>
      <c r="D94" s="152" t="s">
        <v>3384</v>
      </c>
      <c r="E94" s="153">
        <f>'Update Descrip'!D1233</f>
        <v>598.15</v>
      </c>
      <c r="F94" s="155" t="s">
        <v>2938</v>
      </c>
      <c r="G94" s="281"/>
      <c r="I94" s="281"/>
    </row>
    <row r="95" spans="1:9" ht="20.25">
      <c r="A95" s="955" t="s">
        <v>4535</v>
      </c>
      <c r="B95" s="1044" t="s">
        <v>4673</v>
      </c>
      <c r="C95" s="101">
        <v>30</v>
      </c>
      <c r="D95" s="152" t="s">
        <v>3384</v>
      </c>
      <c r="E95" s="153">
        <f>'Update Descrip'!D1254</f>
        <v>945.58</v>
      </c>
      <c r="F95" s="154" t="s">
        <v>3170</v>
      </c>
      <c r="G95" s="281"/>
      <c r="I95" s="281"/>
    </row>
    <row r="96" spans="1:9" s="1036" customFormat="1" ht="20.25">
      <c r="A96" s="955" t="s">
        <v>4536</v>
      </c>
      <c r="B96" s="1044" t="s">
        <v>4674</v>
      </c>
      <c r="C96" s="101">
        <v>30</v>
      </c>
      <c r="D96" s="152" t="s">
        <v>3384</v>
      </c>
      <c r="E96" s="153">
        <f>'Update Descrip'!D1251</f>
        <v>567.35</v>
      </c>
      <c r="F96" s="155" t="s">
        <v>2938</v>
      </c>
      <c r="G96" s="281"/>
      <c r="I96" s="281"/>
    </row>
    <row r="97" spans="1:9" ht="20.25">
      <c r="A97" s="955">
        <v>73</v>
      </c>
      <c r="B97" s="1044" t="s">
        <v>4650</v>
      </c>
      <c r="C97" s="101">
        <v>30</v>
      </c>
      <c r="D97" s="152" t="s">
        <v>3384</v>
      </c>
      <c r="E97" s="153">
        <f>'Update Descrip'!D1270</f>
        <v>891.6</v>
      </c>
      <c r="F97" s="155" t="s">
        <v>3170</v>
      </c>
      <c r="G97" s="281"/>
      <c r="I97" s="281"/>
    </row>
    <row r="98" spans="1:9" ht="20.25">
      <c r="A98" s="955">
        <v>74</v>
      </c>
      <c r="B98" s="1044" t="s">
        <v>4649</v>
      </c>
      <c r="C98" s="101">
        <v>31</v>
      </c>
      <c r="D98" s="152" t="s">
        <v>3384</v>
      </c>
      <c r="E98" s="153">
        <f>'Update Descrip'!D1284</f>
        <v>942.16</v>
      </c>
      <c r="F98" s="154" t="s">
        <v>3170</v>
      </c>
      <c r="G98" s="281"/>
      <c r="I98" s="281"/>
    </row>
    <row r="99" spans="1:9" ht="20.25">
      <c r="A99" s="955">
        <v>75</v>
      </c>
      <c r="B99" s="1044" t="s">
        <v>4648</v>
      </c>
      <c r="C99" s="101">
        <v>31</v>
      </c>
      <c r="D99" s="152" t="s">
        <v>3384</v>
      </c>
      <c r="E99" s="153">
        <f>'Update Descrip'!D1300</f>
        <v>997.52</v>
      </c>
      <c r="F99" s="154" t="s">
        <v>3170</v>
      </c>
      <c r="G99" s="281"/>
      <c r="I99" s="281"/>
    </row>
    <row r="100" spans="1:9" ht="20.25">
      <c r="A100" s="955" t="s">
        <v>4538</v>
      </c>
      <c r="B100" s="1045" t="s">
        <v>4123</v>
      </c>
      <c r="C100" s="101">
        <v>31</v>
      </c>
      <c r="D100" s="152" t="s">
        <v>3384</v>
      </c>
      <c r="E100" s="153">
        <f>'Update Descrip'!D1313</f>
        <v>628.98</v>
      </c>
      <c r="F100" s="154" t="s">
        <v>2938</v>
      </c>
      <c r="G100" s="281"/>
      <c r="I100" s="281"/>
    </row>
    <row r="101" spans="1:9" ht="20.25">
      <c r="A101" s="955" t="s">
        <v>4537</v>
      </c>
      <c r="B101" s="1045" t="s">
        <v>4122</v>
      </c>
      <c r="C101" s="101">
        <v>31</v>
      </c>
      <c r="D101" s="152" t="s">
        <v>3384</v>
      </c>
      <c r="E101" s="153">
        <f>'Update Descrip'!D1316</f>
        <v>1048.3</v>
      </c>
      <c r="F101" s="154" t="s">
        <v>3170</v>
      </c>
      <c r="G101" s="281"/>
      <c r="I101" s="281"/>
    </row>
    <row r="102" spans="1:9" ht="20.25">
      <c r="A102" s="955" t="s">
        <v>4539</v>
      </c>
      <c r="B102" s="1044" t="s">
        <v>4124</v>
      </c>
      <c r="C102" s="101">
        <v>32</v>
      </c>
      <c r="D102" s="152" t="s">
        <v>3384</v>
      </c>
      <c r="E102" s="153">
        <f>'Update Descrip'!D1329</f>
        <v>660.02</v>
      </c>
      <c r="F102" s="154" t="s">
        <v>2938</v>
      </c>
      <c r="G102" s="281"/>
      <c r="I102" s="281"/>
    </row>
    <row r="103" spans="1:9" ht="20.25">
      <c r="A103" s="955" t="s">
        <v>4540</v>
      </c>
      <c r="B103" s="1044" t="s">
        <v>4647</v>
      </c>
      <c r="C103" s="101">
        <v>32</v>
      </c>
      <c r="D103" s="152" t="s">
        <v>3384</v>
      </c>
      <c r="E103" s="153">
        <f>'Update Descrip'!D1332</f>
        <v>1100.04</v>
      </c>
      <c r="F103" s="154" t="s">
        <v>3170</v>
      </c>
      <c r="G103" s="281"/>
      <c r="I103" s="281"/>
    </row>
    <row r="104" spans="1:9" s="949" customFormat="1" ht="20.25">
      <c r="A104" s="955" t="s">
        <v>4541</v>
      </c>
      <c r="B104" s="1044" t="s">
        <v>4646</v>
      </c>
      <c r="C104" s="101">
        <v>32</v>
      </c>
      <c r="D104" s="152" t="s">
        <v>3384</v>
      </c>
      <c r="E104" s="153">
        <f>'Update Descrip'!D1357</f>
        <v>865.95</v>
      </c>
      <c r="F104" s="154" t="s">
        <v>2938</v>
      </c>
      <c r="G104" s="281"/>
      <c r="I104" s="281"/>
    </row>
    <row r="105" spans="1:9" s="949" customFormat="1" ht="20.25">
      <c r="A105" s="955" t="s">
        <v>4542</v>
      </c>
      <c r="B105" s="1044" t="s">
        <v>4646</v>
      </c>
      <c r="C105" s="101">
        <v>32</v>
      </c>
      <c r="D105" s="152" t="s">
        <v>3384</v>
      </c>
      <c r="E105" s="153">
        <f>'Update Descrip'!D1360</f>
        <v>1443.25</v>
      </c>
      <c r="F105" s="154" t="s">
        <v>3170</v>
      </c>
      <c r="G105" s="281"/>
      <c r="I105" s="281"/>
    </row>
    <row r="106" spans="1:9" s="949" customFormat="1" ht="20.25">
      <c r="A106" s="955" t="s">
        <v>4543</v>
      </c>
      <c r="B106" s="1044" t="s">
        <v>4645</v>
      </c>
      <c r="C106" s="101">
        <v>33</v>
      </c>
      <c r="D106" s="152" t="s">
        <v>3384</v>
      </c>
      <c r="E106" s="153">
        <f>'Update Descrip'!D1376</f>
        <v>928.59</v>
      </c>
      <c r="F106" s="154" t="s">
        <v>2938</v>
      </c>
      <c r="G106" s="281"/>
      <c r="I106" s="281"/>
    </row>
    <row r="107" spans="1:9" s="949" customFormat="1" ht="20.25">
      <c r="A107" s="955" t="s">
        <v>4544</v>
      </c>
      <c r="B107" s="1044" t="s">
        <v>4645</v>
      </c>
      <c r="C107" s="101">
        <v>33</v>
      </c>
      <c r="D107" s="152" t="s">
        <v>3384</v>
      </c>
      <c r="E107" s="153">
        <f>'Update Descrip'!D1379</f>
        <v>1547.65</v>
      </c>
      <c r="F107" s="154" t="s">
        <v>3170</v>
      </c>
      <c r="G107" s="281"/>
      <c r="I107" s="281"/>
    </row>
    <row r="108" spans="1:9" s="949" customFormat="1" ht="20.25">
      <c r="A108" s="955">
        <v>80</v>
      </c>
      <c r="B108" s="1044" t="s">
        <v>4212</v>
      </c>
      <c r="C108" s="101">
        <v>33</v>
      </c>
      <c r="D108" s="152" t="s">
        <v>3384</v>
      </c>
      <c r="E108" s="153">
        <f>'Update Descrip'!D1393</f>
        <v>1272.76</v>
      </c>
      <c r="F108" s="154" t="s">
        <v>3170</v>
      </c>
      <c r="G108" s="281"/>
      <c r="I108" s="281"/>
    </row>
    <row r="109" spans="1:9" s="949" customFormat="1" ht="20.25">
      <c r="A109" s="955">
        <f t="shared" ref="A109:A113" si="0">A108+1</f>
        <v>81</v>
      </c>
      <c r="B109" s="1044" t="s">
        <v>4213</v>
      </c>
      <c r="C109" s="101">
        <v>33</v>
      </c>
      <c r="D109" s="152" t="s">
        <v>3384</v>
      </c>
      <c r="E109" s="153">
        <f>'Update Descrip'!D1408</f>
        <v>324.87</v>
      </c>
      <c r="F109" s="154" t="s">
        <v>3170</v>
      </c>
      <c r="G109" s="281"/>
      <c r="I109" s="281"/>
    </row>
    <row r="110" spans="1:9" s="949" customFormat="1" ht="20.25">
      <c r="A110" s="955">
        <f t="shared" si="0"/>
        <v>82</v>
      </c>
      <c r="B110" s="1044" t="s">
        <v>4214</v>
      </c>
      <c r="C110" s="101">
        <v>34</v>
      </c>
      <c r="D110" s="152" t="s">
        <v>3384</v>
      </c>
      <c r="E110" s="153">
        <f>'Update Descrip'!D1422</f>
        <v>309.35000000000002</v>
      </c>
      <c r="F110" s="154" t="s">
        <v>2938</v>
      </c>
      <c r="G110" s="281"/>
      <c r="I110" s="281"/>
    </row>
    <row r="111" spans="1:9" s="949" customFormat="1" ht="20.25">
      <c r="A111" s="955">
        <f t="shared" si="0"/>
        <v>83</v>
      </c>
      <c r="B111" s="1044" t="s">
        <v>4215</v>
      </c>
      <c r="C111" s="101">
        <v>34</v>
      </c>
      <c r="D111" s="152" t="s">
        <v>3384</v>
      </c>
      <c r="E111" s="153">
        <f>'Update Descrip'!D1437</f>
        <v>1948.8240000000001</v>
      </c>
      <c r="F111" s="154" t="s">
        <v>3170</v>
      </c>
      <c r="G111" s="281"/>
      <c r="I111" s="281"/>
    </row>
    <row r="112" spans="1:9" s="949" customFormat="1" ht="20.25">
      <c r="A112" s="955">
        <f t="shared" si="0"/>
        <v>84</v>
      </c>
      <c r="B112" s="1044" t="s">
        <v>4216</v>
      </c>
      <c r="C112" s="101">
        <v>34</v>
      </c>
      <c r="D112" s="152" t="s">
        <v>3384</v>
      </c>
      <c r="E112" s="153">
        <f>'Update Descrip'!D1452</f>
        <v>1158.05</v>
      </c>
      <c r="F112" s="154" t="s">
        <v>2938</v>
      </c>
      <c r="G112" s="281"/>
      <c r="I112" s="281"/>
    </row>
    <row r="113" spans="1:9" s="949" customFormat="1" ht="20.25">
      <c r="A113" s="955">
        <f t="shared" si="0"/>
        <v>85</v>
      </c>
      <c r="B113" s="1044" t="s">
        <v>4217</v>
      </c>
      <c r="C113" s="101">
        <v>35</v>
      </c>
      <c r="D113" s="152" t="s">
        <v>3384</v>
      </c>
      <c r="E113" s="153">
        <f>'Update Descrip'!D1466</f>
        <v>1726.0919999999999</v>
      </c>
      <c r="F113" s="154" t="s">
        <v>3170</v>
      </c>
      <c r="G113" s="281"/>
      <c r="I113" s="281"/>
    </row>
    <row r="114" spans="1:9" ht="16.5" customHeight="1">
      <c r="A114" s="947"/>
      <c r="G114" s="281"/>
      <c r="I114" s="281"/>
    </row>
    <row r="115" spans="1:9" ht="18">
      <c r="A115" s="1203" t="s">
        <v>1083</v>
      </c>
      <c r="B115" s="1203"/>
      <c r="C115" s="1203"/>
      <c r="D115" s="1203"/>
      <c r="E115" s="1203"/>
      <c r="F115" s="1203"/>
      <c r="G115" s="281"/>
      <c r="I115" s="281"/>
    </row>
    <row r="116" spans="1:9" ht="8.25" customHeight="1">
      <c r="A116" s="947"/>
      <c r="G116" s="281"/>
      <c r="I116" s="281"/>
    </row>
    <row r="117" spans="1:9" ht="20.25">
      <c r="A117" s="955">
        <v>86</v>
      </c>
      <c r="B117" s="1044" t="s">
        <v>4125</v>
      </c>
      <c r="C117" s="101">
        <v>35</v>
      </c>
      <c r="D117" s="152" t="s">
        <v>3384</v>
      </c>
      <c r="E117" s="153">
        <f>'Update Descrip'!B1480</f>
        <v>156449.39000000001</v>
      </c>
      <c r="F117" s="154" t="s">
        <v>855</v>
      </c>
      <c r="G117" s="281"/>
      <c r="I117" s="281"/>
    </row>
    <row r="118" spans="1:9" ht="20.25">
      <c r="A118" s="955">
        <f>A117+1</f>
        <v>87</v>
      </c>
      <c r="B118" s="1045" t="s">
        <v>4126</v>
      </c>
      <c r="C118" s="101">
        <v>35</v>
      </c>
      <c r="D118" s="152" t="s">
        <v>3384</v>
      </c>
      <c r="E118" s="153">
        <f>'Update Descrip'!D1494</f>
        <v>3896.11</v>
      </c>
      <c r="F118" s="154" t="s">
        <v>3170</v>
      </c>
      <c r="G118" s="281"/>
      <c r="I118" s="281"/>
    </row>
    <row r="119" spans="1:9" ht="20.25">
      <c r="A119" s="955">
        <f t="shared" ref="A119:A148" si="1">A118+1</f>
        <v>88</v>
      </c>
      <c r="B119" s="1044" t="s">
        <v>4127</v>
      </c>
      <c r="C119" s="101">
        <v>36</v>
      </c>
      <c r="D119" s="152" t="s">
        <v>3384</v>
      </c>
      <c r="E119" s="153">
        <f>'Update Descrip'!D1508</f>
        <v>1632.6380000000001</v>
      </c>
      <c r="F119" s="154" t="s">
        <v>3170</v>
      </c>
      <c r="G119" s="281"/>
      <c r="I119" s="281"/>
    </row>
    <row r="120" spans="1:9" ht="20.25">
      <c r="A120" s="955">
        <f t="shared" si="1"/>
        <v>89</v>
      </c>
      <c r="B120" s="1044" t="s">
        <v>4128</v>
      </c>
      <c r="C120" s="101">
        <v>36</v>
      </c>
      <c r="D120" s="152" t="s">
        <v>3384</v>
      </c>
      <c r="E120" s="153">
        <f>'Update Descrip'!B1522</f>
        <v>175919.87</v>
      </c>
      <c r="F120" s="154" t="s">
        <v>855</v>
      </c>
      <c r="G120" s="281"/>
      <c r="I120" s="281"/>
    </row>
    <row r="121" spans="1:9" ht="20.25">
      <c r="A121" s="955">
        <f t="shared" si="1"/>
        <v>90</v>
      </c>
      <c r="B121" s="1044" t="s">
        <v>4644</v>
      </c>
      <c r="C121" s="101">
        <v>36</v>
      </c>
      <c r="D121" s="152" t="s">
        <v>3384</v>
      </c>
      <c r="E121" s="153">
        <f>'Update Descrip'!D1542</f>
        <v>9470.64</v>
      </c>
      <c r="F121" s="154" t="s">
        <v>3170</v>
      </c>
      <c r="G121" s="281"/>
      <c r="I121" s="281"/>
    </row>
    <row r="122" spans="1:9" ht="20.25">
      <c r="A122" s="955">
        <f t="shared" si="1"/>
        <v>91</v>
      </c>
      <c r="B122" s="1044" t="s">
        <v>4643</v>
      </c>
      <c r="C122" s="101">
        <v>37</v>
      </c>
      <c r="D122" s="152" t="s">
        <v>3384</v>
      </c>
      <c r="E122" s="153">
        <f>'Update Descrip'!D1558</f>
        <v>6106.09</v>
      </c>
      <c r="F122" s="154" t="s">
        <v>3170</v>
      </c>
      <c r="G122" s="281"/>
      <c r="I122" s="281"/>
    </row>
    <row r="123" spans="1:9" ht="20.25">
      <c r="A123" s="955">
        <f t="shared" si="1"/>
        <v>92</v>
      </c>
      <c r="B123" s="1044" t="s">
        <v>4642</v>
      </c>
      <c r="C123" s="101">
        <v>37</v>
      </c>
      <c r="D123" s="152" t="s">
        <v>3384</v>
      </c>
      <c r="E123" s="153">
        <f>'Update Descrip'!D1582</f>
        <v>6208.43</v>
      </c>
      <c r="F123" s="154" t="s">
        <v>3170</v>
      </c>
      <c r="G123" s="281"/>
      <c r="I123" s="281"/>
    </row>
    <row r="124" spans="1:9" ht="20.25">
      <c r="A124" s="955">
        <f t="shared" si="1"/>
        <v>93</v>
      </c>
      <c r="B124" s="1044" t="s">
        <v>4641</v>
      </c>
      <c r="C124" s="101">
        <v>38</v>
      </c>
      <c r="D124" s="152" t="s">
        <v>3384</v>
      </c>
      <c r="E124" s="153">
        <f>'Update Descrip'!D1600</f>
        <v>4908.8</v>
      </c>
      <c r="F124" s="154" t="s">
        <v>3170</v>
      </c>
      <c r="G124" s="281"/>
      <c r="I124" s="281"/>
    </row>
    <row r="125" spans="1:9" ht="20.25">
      <c r="A125" s="955">
        <f t="shared" si="1"/>
        <v>94</v>
      </c>
      <c r="B125" s="1044" t="s">
        <v>4640</v>
      </c>
      <c r="C125" s="101">
        <v>38</v>
      </c>
      <c r="D125" s="152" t="s">
        <v>3384</v>
      </c>
      <c r="E125" s="153">
        <f>'Update Descrip'!D1623</f>
        <v>5261.21</v>
      </c>
      <c r="F125" s="154" t="s">
        <v>3170</v>
      </c>
      <c r="G125" s="281"/>
      <c r="I125" s="281"/>
    </row>
    <row r="126" spans="1:9" ht="20.25">
      <c r="A126" s="955">
        <f t="shared" si="1"/>
        <v>95</v>
      </c>
      <c r="B126" s="1044" t="s">
        <v>4639</v>
      </c>
      <c r="C126" s="101">
        <v>39</v>
      </c>
      <c r="D126" s="152" t="s">
        <v>3384</v>
      </c>
      <c r="E126" s="153">
        <f>'Update Descrip'!D1640</f>
        <v>6023.7</v>
      </c>
      <c r="F126" s="154" t="s">
        <v>3170</v>
      </c>
      <c r="G126" s="281"/>
      <c r="I126" s="281"/>
    </row>
    <row r="127" spans="1:9" ht="20.25">
      <c r="A127" s="955">
        <f t="shared" si="1"/>
        <v>96</v>
      </c>
      <c r="B127" s="1044" t="s">
        <v>4638</v>
      </c>
      <c r="C127" s="101">
        <v>39</v>
      </c>
      <c r="D127" s="152" t="s">
        <v>3384</v>
      </c>
      <c r="E127" s="153">
        <f>'Update Descrip'!D1666</f>
        <v>5513.27</v>
      </c>
      <c r="F127" s="154" t="s">
        <v>3170</v>
      </c>
      <c r="G127" s="281"/>
      <c r="I127" s="281"/>
    </row>
    <row r="128" spans="1:9" ht="20.25">
      <c r="A128" s="955">
        <f t="shared" si="1"/>
        <v>97</v>
      </c>
      <c r="B128" s="1044" t="s">
        <v>4545</v>
      </c>
      <c r="C128" s="101">
        <v>40</v>
      </c>
      <c r="D128" s="152" t="s">
        <v>3384</v>
      </c>
      <c r="E128" s="153">
        <f>'Update Descrip'!D1684</f>
        <v>3382.66</v>
      </c>
      <c r="F128" s="154" t="s">
        <v>3170</v>
      </c>
      <c r="G128" s="281"/>
      <c r="I128" s="281"/>
    </row>
    <row r="129" spans="1:9" ht="20.25">
      <c r="A129" s="955">
        <f t="shared" si="1"/>
        <v>98</v>
      </c>
      <c r="B129" s="1044" t="s">
        <v>4546</v>
      </c>
      <c r="C129" s="101">
        <v>40</v>
      </c>
      <c r="D129" s="152" t="s">
        <v>3384</v>
      </c>
      <c r="E129" s="153">
        <f>'Update Descrip'!D1703</f>
        <v>3546.32</v>
      </c>
      <c r="F129" s="154" t="s">
        <v>3170</v>
      </c>
      <c r="G129" s="281"/>
      <c r="I129" s="281"/>
    </row>
    <row r="130" spans="1:9" ht="20.25">
      <c r="A130" s="955">
        <f t="shared" si="1"/>
        <v>99</v>
      </c>
      <c r="B130" s="1044" t="s">
        <v>4547</v>
      </c>
      <c r="C130" s="101">
        <v>40</v>
      </c>
      <c r="D130" s="152" t="s">
        <v>3384</v>
      </c>
      <c r="E130" s="153">
        <f>'Update Descrip'!D1716</f>
        <v>360.12</v>
      </c>
      <c r="F130" s="154" t="s">
        <v>3170</v>
      </c>
      <c r="G130" s="281"/>
      <c r="I130" s="281"/>
    </row>
    <row r="131" spans="1:9" ht="20.25">
      <c r="A131" s="955">
        <f t="shared" si="1"/>
        <v>100</v>
      </c>
      <c r="B131" s="1044" t="s">
        <v>4129</v>
      </c>
      <c r="C131" s="101">
        <v>41</v>
      </c>
      <c r="D131" s="152" t="s">
        <v>3384</v>
      </c>
      <c r="E131" s="153">
        <f>'Update Descrip'!B1729</f>
        <v>833.31999999999994</v>
      </c>
      <c r="F131" s="154" t="s">
        <v>3170</v>
      </c>
      <c r="G131" s="281"/>
      <c r="I131" s="281"/>
    </row>
    <row r="132" spans="1:9" ht="20.25">
      <c r="A132" s="955">
        <f t="shared" si="1"/>
        <v>101</v>
      </c>
      <c r="B132" s="1044" t="s">
        <v>4130</v>
      </c>
      <c r="C132" s="101">
        <v>41</v>
      </c>
      <c r="D132" s="152" t="s">
        <v>3384</v>
      </c>
      <c r="E132" s="153">
        <f>'Update Descrip'!B1744</f>
        <v>1043.6799999999998</v>
      </c>
      <c r="F132" s="154" t="s">
        <v>3170</v>
      </c>
      <c r="G132" s="281"/>
      <c r="I132" s="281"/>
    </row>
    <row r="133" spans="1:9" ht="20.25">
      <c r="A133" s="955">
        <f t="shared" si="1"/>
        <v>102</v>
      </c>
      <c r="B133" s="1044" t="s">
        <v>4131</v>
      </c>
      <c r="C133" s="101">
        <v>41</v>
      </c>
      <c r="D133" s="152" t="s">
        <v>3384</v>
      </c>
      <c r="E133" s="153">
        <f>'Update Descrip'!B1759</f>
        <v>473.23</v>
      </c>
      <c r="F133" s="154" t="s">
        <v>3170</v>
      </c>
      <c r="G133" s="281"/>
      <c r="I133" s="281"/>
    </row>
    <row r="134" spans="1:9" ht="20.25">
      <c r="A134" s="955">
        <f t="shared" si="1"/>
        <v>103</v>
      </c>
      <c r="B134" s="1044" t="s">
        <v>4548</v>
      </c>
      <c r="C134" s="101">
        <v>42</v>
      </c>
      <c r="D134" s="152" t="s">
        <v>3384</v>
      </c>
      <c r="E134" s="153">
        <f>'Update Descrip'!B1771</f>
        <v>1346.56</v>
      </c>
      <c r="F134" s="154" t="s">
        <v>3170</v>
      </c>
      <c r="G134" s="281"/>
      <c r="I134" s="281"/>
    </row>
    <row r="135" spans="1:9" ht="20.25">
      <c r="A135" s="955">
        <f t="shared" si="1"/>
        <v>104</v>
      </c>
      <c r="B135" s="1044" t="s">
        <v>4132</v>
      </c>
      <c r="C135" s="101">
        <v>42</v>
      </c>
      <c r="D135" s="152" t="s">
        <v>3384</v>
      </c>
      <c r="E135" s="153">
        <f>'Update Descrip'!B1786</f>
        <v>884.38</v>
      </c>
      <c r="F135" s="154" t="s">
        <v>3170</v>
      </c>
      <c r="G135" s="281"/>
      <c r="I135" s="281"/>
    </row>
    <row r="136" spans="1:9" ht="20.25">
      <c r="A136" s="955">
        <f t="shared" si="1"/>
        <v>105</v>
      </c>
      <c r="B136" s="1044" t="s">
        <v>4667</v>
      </c>
      <c r="C136" s="101">
        <v>42</v>
      </c>
      <c r="D136" s="152" t="s">
        <v>3384</v>
      </c>
      <c r="E136" s="153">
        <f>'Update Descrip'!D1802</f>
        <v>2527.87</v>
      </c>
      <c r="F136" s="154" t="s">
        <v>3170</v>
      </c>
      <c r="G136" s="281"/>
      <c r="I136" s="281"/>
    </row>
    <row r="137" spans="1:9" ht="20.25">
      <c r="A137" s="955">
        <f t="shared" si="1"/>
        <v>106</v>
      </c>
      <c r="B137" s="1044" t="s">
        <v>4133</v>
      </c>
      <c r="C137" s="101">
        <v>43</v>
      </c>
      <c r="D137" s="152" t="s">
        <v>3384</v>
      </c>
      <c r="E137" s="153">
        <f>'Update Descrip'!D1818</f>
        <v>2677.85</v>
      </c>
      <c r="F137" s="154" t="s">
        <v>3170</v>
      </c>
      <c r="G137" s="281"/>
      <c r="I137" s="281"/>
    </row>
    <row r="138" spans="1:9" ht="20.25">
      <c r="A138" s="955">
        <f t="shared" si="1"/>
        <v>107</v>
      </c>
      <c r="B138" s="1044" t="s">
        <v>4579</v>
      </c>
      <c r="C138" s="101">
        <v>43</v>
      </c>
      <c r="D138" s="152" t="s">
        <v>3384</v>
      </c>
      <c r="E138" s="153">
        <f>'Update Descrip'!D1835</f>
        <v>1179.74</v>
      </c>
      <c r="F138" s="154" t="s">
        <v>3170</v>
      </c>
      <c r="G138" s="281"/>
      <c r="I138" s="281"/>
    </row>
    <row r="139" spans="1:9" ht="18.75" customHeight="1">
      <c r="A139" s="955">
        <f t="shared" si="1"/>
        <v>108</v>
      </c>
      <c r="B139" s="1044" t="s">
        <v>4637</v>
      </c>
      <c r="C139" s="101">
        <v>43</v>
      </c>
      <c r="D139" s="152" t="s">
        <v>3384</v>
      </c>
      <c r="E139" s="153">
        <f>'Update Descrip'!B1849</f>
        <v>118266</v>
      </c>
      <c r="F139" s="154" t="s">
        <v>2228</v>
      </c>
      <c r="G139" s="281"/>
      <c r="I139" s="281"/>
    </row>
    <row r="140" spans="1:9" ht="20.25">
      <c r="A140" s="955">
        <f t="shared" si="1"/>
        <v>109</v>
      </c>
      <c r="B140" s="1044" t="s">
        <v>4636</v>
      </c>
      <c r="C140" s="101">
        <v>44</v>
      </c>
      <c r="D140" s="152" t="s">
        <v>3384</v>
      </c>
      <c r="E140" s="153">
        <f>'Update Descrip'!D1870</f>
        <v>5932.55</v>
      </c>
      <c r="F140" s="154" t="s">
        <v>3170</v>
      </c>
      <c r="G140" s="281"/>
      <c r="I140" s="281"/>
    </row>
    <row r="141" spans="1:9" ht="20.25">
      <c r="A141" s="955">
        <f t="shared" si="1"/>
        <v>110</v>
      </c>
      <c r="B141" s="1044" t="s">
        <v>4635</v>
      </c>
      <c r="C141" s="101">
        <v>44</v>
      </c>
      <c r="D141" s="152" t="s">
        <v>3384</v>
      </c>
      <c r="E141" s="153">
        <f>'Update Descrip'!D1893</f>
        <v>6380.74</v>
      </c>
      <c r="F141" s="154" t="s">
        <v>3170</v>
      </c>
      <c r="G141" s="281"/>
      <c r="I141" s="281"/>
    </row>
    <row r="142" spans="1:9" ht="20.25">
      <c r="A142" s="955">
        <f t="shared" si="1"/>
        <v>111</v>
      </c>
      <c r="B142" s="1044" t="s">
        <v>4634</v>
      </c>
      <c r="C142" s="101">
        <v>45</v>
      </c>
      <c r="D142" s="152" t="s">
        <v>3384</v>
      </c>
      <c r="E142" s="153">
        <f>'Update Descrip'!D1912</f>
        <v>6073.85</v>
      </c>
      <c r="F142" s="154" t="s">
        <v>3170</v>
      </c>
      <c r="G142" s="281"/>
      <c r="I142" s="281"/>
    </row>
    <row r="143" spans="1:9" ht="19.5">
      <c r="A143" s="955">
        <f t="shared" si="1"/>
        <v>112</v>
      </c>
      <c r="B143" s="95" t="s">
        <v>4666</v>
      </c>
      <c r="C143" s="101">
        <v>45</v>
      </c>
      <c r="D143" s="152" t="s">
        <v>3384</v>
      </c>
      <c r="E143" s="153">
        <f>'Update Descrip'!D1934</f>
        <v>3955.81</v>
      </c>
      <c r="F143" s="154" t="s">
        <v>3170</v>
      </c>
      <c r="G143" s="281"/>
      <c r="I143" s="281"/>
    </row>
    <row r="144" spans="1:9" ht="19.5">
      <c r="A144" s="955">
        <f t="shared" si="1"/>
        <v>113</v>
      </c>
      <c r="B144" s="95" t="s">
        <v>4633</v>
      </c>
      <c r="C144" s="101">
        <v>46</v>
      </c>
      <c r="D144" s="152" t="s">
        <v>3384</v>
      </c>
      <c r="E144" s="153">
        <f>'Update Descrip'!D1951</f>
        <v>4868.01</v>
      </c>
      <c r="F144" s="154" t="s">
        <v>3170</v>
      </c>
      <c r="G144" s="281"/>
      <c r="I144" s="281"/>
    </row>
    <row r="145" spans="1:9" ht="19.5">
      <c r="A145" s="955">
        <f t="shared" si="1"/>
        <v>114</v>
      </c>
      <c r="B145" s="95" t="s">
        <v>4632</v>
      </c>
      <c r="C145" s="101">
        <v>46</v>
      </c>
      <c r="D145" s="152" t="s">
        <v>3384</v>
      </c>
      <c r="E145" s="153">
        <f>'Update Descrip'!D1972</f>
        <v>4261.6899999999996</v>
      </c>
      <c r="F145" s="154" t="s">
        <v>3170</v>
      </c>
      <c r="G145" s="281"/>
      <c r="I145" s="281"/>
    </row>
    <row r="146" spans="1:9" s="949" customFormat="1" ht="19.5">
      <c r="A146" s="955">
        <f t="shared" si="1"/>
        <v>115</v>
      </c>
      <c r="B146" s="95" t="s">
        <v>4631</v>
      </c>
      <c r="C146" s="101">
        <v>47</v>
      </c>
      <c r="D146" s="152" t="s">
        <v>3384</v>
      </c>
      <c r="E146" s="153">
        <f>'Update Descrip'!D1989</f>
        <v>4942.26</v>
      </c>
      <c r="F146" s="154" t="s">
        <v>3170</v>
      </c>
      <c r="G146" s="281"/>
      <c r="I146" s="281"/>
    </row>
    <row r="147" spans="1:9" s="949" customFormat="1" ht="20.25">
      <c r="A147" s="955">
        <f t="shared" si="1"/>
        <v>116</v>
      </c>
      <c r="B147" s="1044" t="s">
        <v>4218</v>
      </c>
      <c r="C147" s="101">
        <v>47</v>
      </c>
      <c r="D147" s="152" t="s">
        <v>3384</v>
      </c>
      <c r="E147" s="153">
        <f>'Update Descrip'!B2006</f>
        <v>289.14</v>
      </c>
      <c r="F147" s="154" t="s">
        <v>3170</v>
      </c>
      <c r="G147" s="281"/>
      <c r="I147" s="281"/>
    </row>
    <row r="148" spans="1:9" s="949" customFormat="1" ht="20.25">
      <c r="A148" s="955">
        <f t="shared" si="1"/>
        <v>117</v>
      </c>
      <c r="B148" s="1044" t="s">
        <v>4219</v>
      </c>
      <c r="C148" s="101">
        <v>47</v>
      </c>
      <c r="D148" s="152" t="s">
        <v>3384</v>
      </c>
      <c r="E148" s="153">
        <f>'Update Descrip'!B2021</f>
        <v>910.37</v>
      </c>
      <c r="F148" s="154" t="s">
        <v>3170</v>
      </c>
      <c r="G148" s="281"/>
      <c r="I148" s="281"/>
    </row>
    <row r="149" spans="1:9" ht="19.5">
      <c r="A149" s="947"/>
      <c r="B149" s="95"/>
      <c r="C149" s="101"/>
      <c r="D149" s="152"/>
      <c r="E149" s="153"/>
      <c r="F149" s="154"/>
      <c r="G149" s="281"/>
      <c r="I149" s="281"/>
    </row>
    <row r="150" spans="1:9" ht="18">
      <c r="A150" s="1203" t="s">
        <v>2644</v>
      </c>
      <c r="B150" s="1203"/>
      <c r="C150" s="1203"/>
      <c r="D150" s="1203"/>
      <c r="E150" s="1203"/>
      <c r="F150" s="1203"/>
      <c r="G150" s="281"/>
      <c r="I150" s="281"/>
    </row>
    <row r="151" spans="1:9" ht="20.25">
      <c r="A151" s="955">
        <f>A148+1</f>
        <v>118</v>
      </c>
      <c r="B151" s="1044" t="s">
        <v>2733</v>
      </c>
      <c r="C151" s="101">
        <v>48</v>
      </c>
      <c r="D151" s="152" t="s">
        <v>3384</v>
      </c>
      <c r="E151" s="153">
        <f>'Update Descrip'!D2034</f>
        <v>479.99</v>
      </c>
      <c r="F151" s="154" t="s">
        <v>3170</v>
      </c>
      <c r="G151" s="281"/>
      <c r="I151" s="281"/>
    </row>
    <row r="152" spans="1:9" ht="20.25">
      <c r="A152" s="955">
        <f>A151+1</f>
        <v>119</v>
      </c>
      <c r="B152" s="1044" t="s">
        <v>3238</v>
      </c>
      <c r="C152" s="101">
        <v>48</v>
      </c>
      <c r="D152" s="152" t="s">
        <v>3384</v>
      </c>
      <c r="E152" s="153">
        <f>'Update Descrip'!D2051</f>
        <v>605.65</v>
      </c>
      <c r="F152" s="154" t="s">
        <v>3170</v>
      </c>
      <c r="G152" s="281"/>
      <c r="I152" s="281"/>
    </row>
    <row r="153" spans="1:9" ht="20.25">
      <c r="A153" s="955">
        <f t="shared" ref="A153:A192" si="2">A152+1</f>
        <v>120</v>
      </c>
      <c r="B153" s="1044" t="s">
        <v>3239</v>
      </c>
      <c r="C153" s="101">
        <v>48</v>
      </c>
      <c r="D153" s="152" t="s">
        <v>3384</v>
      </c>
      <c r="E153" s="153">
        <f>'Update Descrip'!D2068</f>
        <v>843.41</v>
      </c>
      <c r="F153" s="154" t="s">
        <v>3170</v>
      </c>
      <c r="G153" s="281"/>
      <c r="I153" s="281"/>
    </row>
    <row r="154" spans="1:9" ht="20.25">
      <c r="A154" s="955">
        <f t="shared" si="2"/>
        <v>121</v>
      </c>
      <c r="B154" s="1045" t="s">
        <v>4630</v>
      </c>
      <c r="C154" s="101">
        <v>49</v>
      </c>
      <c r="D154" s="152" t="s">
        <v>3384</v>
      </c>
      <c r="E154" s="153">
        <f>'Update Descrip'!D2092</f>
        <v>1235.1500000000001</v>
      </c>
      <c r="F154" s="154" t="s">
        <v>3170</v>
      </c>
      <c r="G154" s="281"/>
      <c r="I154" s="281"/>
    </row>
    <row r="155" spans="1:9" ht="20.25">
      <c r="A155" s="955">
        <f t="shared" si="2"/>
        <v>122</v>
      </c>
      <c r="B155" s="1045" t="s">
        <v>4629</v>
      </c>
      <c r="C155" s="101">
        <v>49</v>
      </c>
      <c r="D155" s="152" t="s">
        <v>3384</v>
      </c>
      <c r="E155" s="153">
        <f>'Update Descrip'!D2117</f>
        <v>2241.17</v>
      </c>
      <c r="F155" s="154" t="s">
        <v>3170</v>
      </c>
      <c r="G155" s="281"/>
      <c r="I155" s="281"/>
    </row>
    <row r="156" spans="1:9" ht="18" customHeight="1">
      <c r="A156" s="955">
        <f t="shared" si="2"/>
        <v>123</v>
      </c>
      <c r="B156" s="1045" t="s">
        <v>4628</v>
      </c>
      <c r="C156" s="101">
        <v>50</v>
      </c>
      <c r="D156" s="152" t="s">
        <v>3384</v>
      </c>
      <c r="E156" s="153">
        <f>'Update Descrip'!D2137</f>
        <v>2245.23</v>
      </c>
      <c r="F156" s="154" t="s">
        <v>3170</v>
      </c>
      <c r="G156" s="281"/>
      <c r="I156" s="281"/>
    </row>
    <row r="157" spans="1:9" ht="20.25">
      <c r="A157" s="955">
        <f t="shared" si="2"/>
        <v>124</v>
      </c>
      <c r="B157" s="1045" t="s">
        <v>4549</v>
      </c>
      <c r="C157" s="101">
        <v>50</v>
      </c>
      <c r="D157" s="152" t="s">
        <v>3384</v>
      </c>
      <c r="E157" s="153">
        <f>'Update Descrip'!D2162</f>
        <v>2133.6799999999998</v>
      </c>
      <c r="F157" s="154" t="s">
        <v>3170</v>
      </c>
      <c r="G157" s="281"/>
      <c r="I157" s="281"/>
    </row>
    <row r="158" spans="1:9" ht="20.25">
      <c r="A158" s="955">
        <f t="shared" si="2"/>
        <v>125</v>
      </c>
      <c r="B158" s="1044" t="s">
        <v>1716</v>
      </c>
      <c r="C158" s="101">
        <v>51</v>
      </c>
      <c r="D158" s="152" t="s">
        <v>3384</v>
      </c>
      <c r="E158" s="153">
        <f>'Update Descrip'!D2178</f>
        <v>1897.67</v>
      </c>
      <c r="F158" s="154" t="s">
        <v>3170</v>
      </c>
      <c r="G158" s="281"/>
      <c r="I158" s="281"/>
    </row>
    <row r="159" spans="1:9" ht="20.25">
      <c r="A159" s="955">
        <f t="shared" si="2"/>
        <v>126</v>
      </c>
      <c r="B159" s="1044" t="s">
        <v>660</v>
      </c>
      <c r="C159" s="101">
        <v>51</v>
      </c>
      <c r="D159" s="152" t="s">
        <v>3384</v>
      </c>
      <c r="E159" s="153">
        <f>'Update Descrip'!D2194</f>
        <v>1956.86</v>
      </c>
      <c r="F159" s="154" t="s">
        <v>3170</v>
      </c>
      <c r="G159" s="281"/>
      <c r="I159" s="281"/>
    </row>
    <row r="160" spans="1:9" ht="20.25">
      <c r="A160" s="955">
        <f t="shared" si="2"/>
        <v>127</v>
      </c>
      <c r="B160" s="1044" t="s">
        <v>4134</v>
      </c>
      <c r="C160" s="101">
        <v>51</v>
      </c>
      <c r="D160" s="152" t="s">
        <v>3384</v>
      </c>
      <c r="E160" s="153">
        <f>'Update Descrip'!D2209</f>
        <v>1539.23</v>
      </c>
      <c r="F160" s="154" t="s">
        <v>3170</v>
      </c>
      <c r="G160" s="281"/>
      <c r="I160" s="281"/>
    </row>
    <row r="161" spans="1:9" ht="20.25">
      <c r="A161" s="955">
        <f t="shared" si="2"/>
        <v>128</v>
      </c>
      <c r="B161" s="1044" t="s">
        <v>4135</v>
      </c>
      <c r="C161" s="101">
        <v>52</v>
      </c>
      <c r="D161" s="152" t="s">
        <v>3384</v>
      </c>
      <c r="E161" s="153">
        <f>'Update Descrip'!D2221</f>
        <v>1414.16</v>
      </c>
      <c r="F161" s="154" t="s">
        <v>3170</v>
      </c>
      <c r="G161" s="281"/>
      <c r="I161" s="281"/>
    </row>
    <row r="162" spans="1:9" ht="20.25">
      <c r="A162" s="955">
        <f t="shared" si="2"/>
        <v>129</v>
      </c>
      <c r="B162" s="1045" t="s">
        <v>4627</v>
      </c>
      <c r="C162" s="101">
        <v>52</v>
      </c>
      <c r="D162" s="152" t="s">
        <v>3384</v>
      </c>
      <c r="E162" s="153">
        <f>'Update Descrip'!D2236</f>
        <v>1288.18</v>
      </c>
      <c r="F162" s="154" t="s">
        <v>3170</v>
      </c>
      <c r="G162" s="281"/>
      <c r="I162" s="281"/>
    </row>
    <row r="163" spans="1:9" ht="20.25">
      <c r="A163" s="955">
        <f t="shared" si="2"/>
        <v>130</v>
      </c>
      <c r="B163" s="1045" t="s">
        <v>4136</v>
      </c>
      <c r="C163" s="101">
        <v>52</v>
      </c>
      <c r="D163" s="152" t="s">
        <v>3384</v>
      </c>
      <c r="E163" s="153">
        <f>'Update Descrip'!D2254</f>
        <v>1420.91</v>
      </c>
      <c r="F163" s="154" t="s">
        <v>3170</v>
      </c>
      <c r="G163" s="281"/>
      <c r="I163" s="281"/>
    </row>
    <row r="164" spans="1:9" ht="20.25">
      <c r="A164" s="955">
        <f t="shared" si="2"/>
        <v>131</v>
      </c>
      <c r="B164" s="1044" t="s">
        <v>1125</v>
      </c>
      <c r="C164" s="101">
        <v>53</v>
      </c>
      <c r="D164" s="152" t="s">
        <v>3384</v>
      </c>
      <c r="E164" s="153">
        <f>'Update Descrip'!D2269</f>
        <v>817.95</v>
      </c>
      <c r="F164" s="154" t="s">
        <v>3170</v>
      </c>
      <c r="G164" s="281"/>
      <c r="I164" s="281"/>
    </row>
    <row r="165" spans="1:9" ht="20.25">
      <c r="A165" s="955">
        <f t="shared" si="2"/>
        <v>132</v>
      </c>
      <c r="B165" s="1044" t="s">
        <v>2180</v>
      </c>
      <c r="C165" s="101">
        <v>53</v>
      </c>
      <c r="D165" s="152" t="s">
        <v>3384</v>
      </c>
      <c r="E165" s="153">
        <f>'Update Descrip'!D2285</f>
        <v>1070.76</v>
      </c>
      <c r="F165" s="154" t="s">
        <v>3170</v>
      </c>
      <c r="G165" s="281"/>
      <c r="I165" s="281"/>
    </row>
    <row r="166" spans="1:9" ht="20.25">
      <c r="A166" s="955">
        <f t="shared" si="2"/>
        <v>133</v>
      </c>
      <c r="B166" s="1044" t="s">
        <v>4137</v>
      </c>
      <c r="C166" s="101">
        <v>53</v>
      </c>
      <c r="D166" s="152" t="s">
        <v>3384</v>
      </c>
      <c r="E166" s="153">
        <f>'Update Descrip'!D2301</f>
        <v>1844.56</v>
      </c>
      <c r="F166" s="154" t="s">
        <v>3170</v>
      </c>
      <c r="G166" s="281"/>
      <c r="I166" s="281"/>
    </row>
    <row r="167" spans="1:9" ht="20.25">
      <c r="A167" s="955">
        <f t="shared" si="2"/>
        <v>134</v>
      </c>
      <c r="B167" s="1044" t="s">
        <v>4138</v>
      </c>
      <c r="C167" s="101">
        <v>54</v>
      </c>
      <c r="D167" s="152" t="s">
        <v>3384</v>
      </c>
      <c r="E167" s="153">
        <f>'Update Descrip'!D2313</f>
        <v>571.05999999999995</v>
      </c>
      <c r="F167" s="154" t="s">
        <v>3170</v>
      </c>
      <c r="G167" s="281"/>
      <c r="I167" s="281"/>
    </row>
    <row r="168" spans="1:9" ht="18.75" customHeight="1">
      <c r="A168" s="955">
        <f t="shared" si="2"/>
        <v>135</v>
      </c>
      <c r="B168" s="1044" t="s">
        <v>4139</v>
      </c>
      <c r="C168" s="101">
        <v>54</v>
      </c>
      <c r="D168" s="152" t="s">
        <v>3384</v>
      </c>
      <c r="E168" s="153">
        <f>'Update Descrip'!D2328</f>
        <v>982.9</v>
      </c>
      <c r="F168" s="154" t="s">
        <v>3170</v>
      </c>
      <c r="G168" s="281"/>
      <c r="I168" s="281"/>
    </row>
    <row r="169" spans="1:9" s="952" customFormat="1" ht="18.75" customHeight="1">
      <c r="A169" s="955">
        <f t="shared" si="2"/>
        <v>136</v>
      </c>
      <c r="B169" s="1044" t="s">
        <v>4140</v>
      </c>
      <c r="C169" s="101">
        <v>54</v>
      </c>
      <c r="D169" s="152" t="s">
        <v>3384</v>
      </c>
      <c r="E169" s="153">
        <f>'Update Descrip'!D2343</f>
        <v>5254.84</v>
      </c>
      <c r="F169" s="154" t="s">
        <v>3170</v>
      </c>
      <c r="G169" s="281"/>
      <c r="I169" s="281"/>
    </row>
    <row r="170" spans="1:9" ht="20.25">
      <c r="A170" s="955">
        <f t="shared" si="2"/>
        <v>137</v>
      </c>
      <c r="B170" s="1044" t="s">
        <v>4141</v>
      </c>
      <c r="C170" s="101">
        <v>55</v>
      </c>
      <c r="D170" s="152" t="s">
        <v>3384</v>
      </c>
      <c r="E170" s="153">
        <f>'Update Descrip'!D2358</f>
        <v>991.86</v>
      </c>
      <c r="F170" s="154" t="s">
        <v>3170</v>
      </c>
      <c r="G170" s="281"/>
      <c r="I170" s="281"/>
    </row>
    <row r="171" spans="1:9" ht="20.25">
      <c r="A171" s="955">
        <f t="shared" si="2"/>
        <v>138</v>
      </c>
      <c r="B171" s="1044" t="s">
        <v>3321</v>
      </c>
      <c r="C171" s="101">
        <v>55</v>
      </c>
      <c r="D171" s="152" t="s">
        <v>3384</v>
      </c>
      <c r="E171" s="153">
        <f>'Update Descrip'!D2374</f>
        <v>59.18</v>
      </c>
      <c r="F171" s="154" t="s">
        <v>3170</v>
      </c>
      <c r="G171" s="281"/>
      <c r="I171" s="281"/>
    </row>
    <row r="172" spans="1:9" ht="20.25">
      <c r="A172" s="955">
        <f t="shared" si="2"/>
        <v>139</v>
      </c>
      <c r="B172" s="1044" t="s">
        <v>2057</v>
      </c>
      <c r="C172" s="101">
        <v>55</v>
      </c>
      <c r="D172" s="152" t="s">
        <v>3384</v>
      </c>
      <c r="E172" s="153">
        <f>'Update Descrip'!D2389</f>
        <v>1821.78</v>
      </c>
      <c r="F172" s="154" t="s">
        <v>855</v>
      </c>
      <c r="G172" s="281"/>
      <c r="I172" s="281"/>
    </row>
    <row r="173" spans="1:9" ht="20.25">
      <c r="A173" s="955">
        <f t="shared" si="2"/>
        <v>140</v>
      </c>
      <c r="B173" s="1044" t="s">
        <v>497</v>
      </c>
      <c r="C173" s="101">
        <v>56</v>
      </c>
      <c r="D173" s="152" t="s">
        <v>3384</v>
      </c>
      <c r="E173" s="153">
        <f>'Update Descrip'!D2402</f>
        <v>2167.1</v>
      </c>
      <c r="F173" s="154" t="s">
        <v>855</v>
      </c>
      <c r="G173" s="281"/>
      <c r="I173" s="281"/>
    </row>
    <row r="174" spans="1:9" ht="20.25">
      <c r="A174" s="955">
        <f t="shared" si="2"/>
        <v>141</v>
      </c>
      <c r="B174" s="1044" t="s">
        <v>1236</v>
      </c>
      <c r="C174" s="101">
        <v>56</v>
      </c>
      <c r="D174" s="152" t="s">
        <v>3384</v>
      </c>
      <c r="E174" s="153">
        <f>'Update Descrip'!D2416</f>
        <v>190.37</v>
      </c>
      <c r="F174" s="154" t="s">
        <v>3170</v>
      </c>
      <c r="G174" s="281"/>
      <c r="I174" s="281"/>
    </row>
    <row r="175" spans="1:9" ht="20.25">
      <c r="A175" s="955">
        <f t="shared" si="2"/>
        <v>142</v>
      </c>
      <c r="B175" s="1045" t="s">
        <v>1581</v>
      </c>
      <c r="C175" s="101">
        <v>56</v>
      </c>
      <c r="D175" s="152" t="s">
        <v>3384</v>
      </c>
      <c r="E175" s="153">
        <f>'Update Descrip'!D2433</f>
        <v>6255.65</v>
      </c>
      <c r="F175" s="154" t="s">
        <v>3170</v>
      </c>
      <c r="G175" s="281"/>
      <c r="I175" s="281"/>
    </row>
    <row r="176" spans="1:9" s="952" customFormat="1" ht="20.25">
      <c r="A176" s="955">
        <f t="shared" si="2"/>
        <v>143</v>
      </c>
      <c r="B176" s="1045" t="s">
        <v>4142</v>
      </c>
      <c r="C176" s="101">
        <v>57</v>
      </c>
      <c r="D176" s="152" t="s">
        <v>3384</v>
      </c>
      <c r="E176" s="153">
        <f>'Update Descrip'!D2447</f>
        <v>1180.6300000000001</v>
      </c>
      <c r="F176" s="154" t="s">
        <v>3170</v>
      </c>
      <c r="G176" s="281"/>
      <c r="I176" s="281"/>
    </row>
    <row r="177" spans="1:9" s="952" customFormat="1" ht="20.25">
      <c r="A177" s="955">
        <f t="shared" si="2"/>
        <v>144</v>
      </c>
      <c r="B177" s="1044" t="s">
        <v>4143</v>
      </c>
      <c r="C177" s="101">
        <v>57</v>
      </c>
      <c r="D177" s="152" t="s">
        <v>3384</v>
      </c>
      <c r="E177" s="153">
        <f>'Update Descrip'!D2463</f>
        <v>1208.32</v>
      </c>
      <c r="F177" s="154" t="s">
        <v>3170</v>
      </c>
      <c r="G177" s="281"/>
      <c r="I177" s="281"/>
    </row>
    <row r="178" spans="1:9" s="952" customFormat="1" ht="20.25">
      <c r="A178" s="955">
        <f t="shared" si="2"/>
        <v>145</v>
      </c>
      <c r="B178" s="1045" t="s">
        <v>4144</v>
      </c>
      <c r="C178" s="101">
        <v>57</v>
      </c>
      <c r="D178" s="152" t="s">
        <v>3384</v>
      </c>
      <c r="E178" s="153">
        <f>'Update Descrip'!D2478</f>
        <v>149.99</v>
      </c>
      <c r="F178" s="154" t="s">
        <v>3170</v>
      </c>
      <c r="G178" s="281"/>
      <c r="I178" s="281"/>
    </row>
    <row r="179" spans="1:9" s="952" customFormat="1" ht="20.25">
      <c r="A179" s="955">
        <f t="shared" si="2"/>
        <v>146</v>
      </c>
      <c r="B179" s="1045" t="s">
        <v>4145</v>
      </c>
      <c r="C179" s="101">
        <v>58</v>
      </c>
      <c r="D179" s="152" t="s">
        <v>3384</v>
      </c>
      <c r="E179" s="153">
        <f>'Update Descrip'!D2491</f>
        <v>1577.56</v>
      </c>
      <c r="F179" s="154" t="s">
        <v>3170</v>
      </c>
      <c r="G179" s="281"/>
      <c r="I179" s="281"/>
    </row>
    <row r="180" spans="1:9" s="952" customFormat="1" ht="20.25">
      <c r="A180" s="955">
        <f t="shared" si="2"/>
        <v>147</v>
      </c>
      <c r="B180" s="1044" t="s">
        <v>4626</v>
      </c>
      <c r="C180" s="101">
        <v>58</v>
      </c>
      <c r="D180" s="152" t="s">
        <v>3384</v>
      </c>
      <c r="E180" s="153">
        <f>'Update Descrip'!D2508</f>
        <v>1583.38</v>
      </c>
      <c r="F180" s="154" t="s">
        <v>3170</v>
      </c>
      <c r="G180" s="281"/>
      <c r="I180" s="281"/>
    </row>
    <row r="181" spans="1:9" s="952" customFormat="1" ht="20.25">
      <c r="A181" s="955">
        <f t="shared" si="2"/>
        <v>148</v>
      </c>
      <c r="B181" s="1045" t="s">
        <v>4625</v>
      </c>
      <c r="C181" s="101">
        <v>58</v>
      </c>
      <c r="D181" s="152" t="s">
        <v>3384</v>
      </c>
      <c r="E181" s="153">
        <f>'Update Descrip'!D2525</f>
        <v>1643.8500000000001</v>
      </c>
      <c r="F181" s="154" t="s">
        <v>3170</v>
      </c>
      <c r="G181" s="281"/>
      <c r="I181" s="281"/>
    </row>
    <row r="182" spans="1:9" s="952" customFormat="1" ht="20.25">
      <c r="A182" s="955">
        <f t="shared" si="2"/>
        <v>149</v>
      </c>
      <c r="B182" s="1045" t="s">
        <v>4624</v>
      </c>
      <c r="C182" s="101">
        <v>59</v>
      </c>
      <c r="D182" s="152" t="s">
        <v>3384</v>
      </c>
      <c r="E182" s="153">
        <f>'Update Descrip'!D2538</f>
        <v>1616.6200000000001</v>
      </c>
      <c r="F182" s="154" t="s">
        <v>3170</v>
      </c>
      <c r="G182" s="281"/>
      <c r="I182" s="281"/>
    </row>
    <row r="183" spans="1:9" s="952" customFormat="1" ht="20.25">
      <c r="A183" s="955">
        <f t="shared" si="2"/>
        <v>150</v>
      </c>
      <c r="B183" s="1045" t="s">
        <v>4146</v>
      </c>
      <c r="C183" s="101">
        <v>59</v>
      </c>
      <c r="D183" s="152" t="s">
        <v>3384</v>
      </c>
      <c r="E183" s="153">
        <f>'Update Descrip'!D2558</f>
        <v>4798.6000000000004</v>
      </c>
      <c r="F183" s="154" t="s">
        <v>3170</v>
      </c>
      <c r="G183" s="281"/>
      <c r="I183" s="281"/>
    </row>
    <row r="184" spans="1:9" s="952" customFormat="1" ht="20.25">
      <c r="A184" s="955">
        <f t="shared" si="2"/>
        <v>151</v>
      </c>
      <c r="B184" s="1045" t="s">
        <v>4222</v>
      </c>
      <c r="C184" s="101">
        <v>59</v>
      </c>
      <c r="D184" s="152" t="s">
        <v>3384</v>
      </c>
      <c r="E184" s="153">
        <f>'Update Descrip'!D2573</f>
        <v>1418.42</v>
      </c>
      <c r="F184" s="154" t="s">
        <v>3170</v>
      </c>
      <c r="G184" s="281"/>
      <c r="I184" s="281"/>
    </row>
    <row r="185" spans="1:9" s="952" customFormat="1" ht="20.25">
      <c r="A185" s="955">
        <f t="shared" si="2"/>
        <v>152</v>
      </c>
      <c r="B185" s="1044" t="s">
        <v>4623</v>
      </c>
      <c r="C185" s="101">
        <v>60</v>
      </c>
      <c r="D185" s="152" t="s">
        <v>3384</v>
      </c>
      <c r="E185" s="153">
        <f>'Update Descrip'!D2588</f>
        <v>1025.44</v>
      </c>
      <c r="F185" s="154" t="s">
        <v>3170</v>
      </c>
      <c r="G185" s="281"/>
      <c r="I185" s="281"/>
    </row>
    <row r="186" spans="1:9" s="952" customFormat="1" ht="20.25">
      <c r="A186" s="955">
        <f t="shared" si="2"/>
        <v>153</v>
      </c>
      <c r="B186" s="1045" t="s">
        <v>4147</v>
      </c>
      <c r="C186" s="101">
        <v>60</v>
      </c>
      <c r="D186" s="152" t="s">
        <v>3384</v>
      </c>
      <c r="E186" s="153">
        <f>'Update Descrip'!D2598</f>
        <v>2132.27</v>
      </c>
      <c r="F186" s="154" t="s">
        <v>3170</v>
      </c>
      <c r="G186" s="281"/>
      <c r="I186" s="281"/>
    </row>
    <row r="187" spans="1:9" s="952" customFormat="1" ht="20.25">
      <c r="A187" s="955">
        <f t="shared" si="2"/>
        <v>154</v>
      </c>
      <c r="B187" s="1045" t="s">
        <v>4622</v>
      </c>
      <c r="C187" s="101">
        <v>60</v>
      </c>
      <c r="D187" s="152" t="s">
        <v>3384</v>
      </c>
      <c r="E187" s="153">
        <f>'Update Descrip'!D2618</f>
        <v>3029.12</v>
      </c>
      <c r="F187" s="154" t="s">
        <v>3170</v>
      </c>
      <c r="G187" s="281"/>
      <c r="I187" s="281"/>
    </row>
    <row r="188" spans="1:9" s="952" customFormat="1" ht="20.25">
      <c r="A188" s="955">
        <f t="shared" si="2"/>
        <v>155</v>
      </c>
      <c r="B188" s="1044" t="s">
        <v>4621</v>
      </c>
      <c r="C188" s="101">
        <v>61</v>
      </c>
      <c r="D188" s="152" t="s">
        <v>3384</v>
      </c>
      <c r="E188" s="153">
        <f>'Update Descrip'!D2637</f>
        <v>3224.02</v>
      </c>
      <c r="F188" s="154" t="s">
        <v>3170</v>
      </c>
      <c r="G188" s="281"/>
      <c r="I188" s="281"/>
    </row>
    <row r="189" spans="1:9" s="952" customFormat="1" ht="20.25">
      <c r="A189" s="955">
        <f t="shared" si="2"/>
        <v>156</v>
      </c>
      <c r="B189" s="1044" t="s">
        <v>4220</v>
      </c>
      <c r="C189" s="101">
        <v>61</v>
      </c>
      <c r="D189" s="152" t="s">
        <v>3384</v>
      </c>
      <c r="E189" s="153">
        <f>'Update Descrip'!D2650</f>
        <v>301.87</v>
      </c>
      <c r="F189" s="154" t="s">
        <v>3170</v>
      </c>
      <c r="G189" s="281"/>
      <c r="I189" s="281"/>
    </row>
    <row r="190" spans="1:9" s="952" customFormat="1" ht="20.25">
      <c r="A190" s="955">
        <f t="shared" si="2"/>
        <v>157</v>
      </c>
      <c r="B190" s="1044" t="s">
        <v>4221</v>
      </c>
      <c r="C190" s="101">
        <v>61</v>
      </c>
      <c r="D190" s="152" t="s">
        <v>3384</v>
      </c>
      <c r="E190" s="153">
        <f>'Update Descrip'!D2662</f>
        <v>625.31000000000006</v>
      </c>
      <c r="F190" s="154" t="s">
        <v>3170</v>
      </c>
      <c r="G190" s="281"/>
      <c r="I190" s="281"/>
    </row>
    <row r="191" spans="1:9" s="952" customFormat="1" ht="20.25">
      <c r="A191" s="955">
        <f t="shared" si="2"/>
        <v>158</v>
      </c>
      <c r="B191" s="1045" t="s">
        <v>4620</v>
      </c>
      <c r="C191" s="101">
        <v>62</v>
      </c>
      <c r="D191" s="152" t="s">
        <v>3384</v>
      </c>
      <c r="E191" s="153">
        <f>'Update Descrip'!D2676</f>
        <v>2032.73</v>
      </c>
      <c r="F191" s="154" t="s">
        <v>3170</v>
      </c>
      <c r="G191" s="281"/>
      <c r="I191" s="281"/>
    </row>
    <row r="192" spans="1:9" s="952" customFormat="1" ht="20.25">
      <c r="A192" s="955">
        <f t="shared" si="2"/>
        <v>159</v>
      </c>
      <c r="B192" s="1044" t="s">
        <v>4619</v>
      </c>
      <c r="C192" s="101">
        <v>62</v>
      </c>
      <c r="D192" s="152" t="s">
        <v>3384</v>
      </c>
      <c r="E192" s="153">
        <f>'Update Descrip'!B2694</f>
        <v>257.66000000000003</v>
      </c>
      <c r="F192" s="154" t="s">
        <v>3170</v>
      </c>
      <c r="G192" s="281"/>
      <c r="I192" s="281"/>
    </row>
    <row r="193" spans="1:9" s="952" customFormat="1" ht="19.5">
      <c r="A193" s="955"/>
      <c r="B193" s="263"/>
      <c r="C193" s="101"/>
      <c r="D193" s="152"/>
      <c r="E193" s="153"/>
      <c r="F193" s="154"/>
      <c r="G193" s="281"/>
      <c r="I193" s="281"/>
    </row>
    <row r="194" spans="1:9" s="949" customFormat="1" ht="19.5">
      <c r="A194" s="947"/>
      <c r="B194" s="263"/>
      <c r="C194" s="101"/>
      <c r="D194" s="152"/>
      <c r="E194" s="153"/>
      <c r="F194" s="154"/>
      <c r="G194" s="281"/>
      <c r="I194" s="281"/>
    </row>
    <row r="195" spans="1:9" ht="18">
      <c r="A195" s="1203" t="s">
        <v>1</v>
      </c>
      <c r="B195" s="1203"/>
      <c r="C195" s="1203"/>
      <c r="D195" s="1203"/>
      <c r="E195" s="1203"/>
      <c r="F195" s="1203"/>
      <c r="G195" s="281"/>
      <c r="I195" s="281"/>
    </row>
    <row r="196" spans="1:9" ht="18">
      <c r="A196" s="947"/>
      <c r="G196" s="281"/>
      <c r="I196" s="281"/>
    </row>
    <row r="197" spans="1:9" ht="20.25">
      <c r="A197" s="955">
        <f>A192+1</f>
        <v>160</v>
      </c>
      <c r="B197" s="1046" t="s">
        <v>1188</v>
      </c>
      <c r="C197" s="101">
        <v>62</v>
      </c>
      <c r="D197" s="152" t="s">
        <v>3384</v>
      </c>
      <c r="E197" s="153">
        <f>'Update Descrip'!D2709</f>
        <v>303.3</v>
      </c>
      <c r="F197" s="154" t="s">
        <v>3170</v>
      </c>
      <c r="G197" s="281"/>
      <c r="I197" s="281"/>
    </row>
    <row r="198" spans="1:9" ht="20.25">
      <c r="A198" s="955">
        <f t="shared" ref="A198:A218" si="3">A197+1</f>
        <v>161</v>
      </c>
      <c r="B198" s="1044" t="s">
        <v>1712</v>
      </c>
      <c r="C198" s="101">
        <v>63</v>
      </c>
      <c r="D198" s="152" t="s">
        <v>3384</v>
      </c>
      <c r="E198" s="153">
        <f>'Update Descrip'!D2721</f>
        <v>292.52999999999997</v>
      </c>
      <c r="F198" s="154" t="s">
        <v>3170</v>
      </c>
      <c r="G198" s="281"/>
      <c r="I198" s="281"/>
    </row>
    <row r="199" spans="1:9" ht="20.25">
      <c r="A199" s="955">
        <f t="shared" si="3"/>
        <v>162</v>
      </c>
      <c r="B199" s="1044" t="s">
        <v>1713</v>
      </c>
      <c r="C199" s="101">
        <v>63</v>
      </c>
      <c r="D199" s="152" t="s">
        <v>3384</v>
      </c>
      <c r="E199" s="153">
        <f>'Update Descrip'!D2736</f>
        <v>257.16000000000003</v>
      </c>
      <c r="F199" s="154" t="s">
        <v>3170</v>
      </c>
      <c r="G199" s="281"/>
      <c r="I199" s="281"/>
    </row>
    <row r="200" spans="1:9" ht="20.25">
      <c r="A200" s="955">
        <f t="shared" si="3"/>
        <v>163</v>
      </c>
      <c r="B200" s="1044" t="s">
        <v>1714</v>
      </c>
      <c r="C200" s="101">
        <v>63</v>
      </c>
      <c r="D200" s="152" t="s">
        <v>3384</v>
      </c>
      <c r="E200" s="153">
        <f>'Update Descrip'!D2752</f>
        <v>233.79</v>
      </c>
      <c r="F200" s="154" t="s">
        <v>3170</v>
      </c>
      <c r="G200" s="281"/>
      <c r="I200" s="281"/>
    </row>
    <row r="201" spans="1:9" ht="18.75" customHeight="1">
      <c r="A201" s="955">
        <f t="shared" si="3"/>
        <v>164</v>
      </c>
      <c r="B201" s="1044" t="s">
        <v>1936</v>
      </c>
      <c r="C201" s="101">
        <v>64</v>
      </c>
      <c r="D201" s="152" t="s">
        <v>3384</v>
      </c>
      <c r="E201" s="153">
        <f>'Update Descrip'!D2764</f>
        <v>291.87</v>
      </c>
      <c r="F201" s="154" t="s">
        <v>3170</v>
      </c>
      <c r="G201" s="281"/>
      <c r="I201" s="281"/>
    </row>
    <row r="202" spans="1:9" ht="20.25">
      <c r="A202" s="955">
        <f t="shared" si="3"/>
        <v>165</v>
      </c>
      <c r="B202" s="1045" t="s">
        <v>2121</v>
      </c>
      <c r="C202" s="101">
        <v>64</v>
      </c>
      <c r="D202" s="152" t="s">
        <v>3384</v>
      </c>
      <c r="E202" s="153">
        <f>'Update Descrip'!D2780</f>
        <v>393.2</v>
      </c>
      <c r="F202" s="154" t="s">
        <v>3170</v>
      </c>
      <c r="G202" s="281"/>
      <c r="I202" s="281"/>
    </row>
    <row r="203" spans="1:9" ht="20.25">
      <c r="A203" s="955">
        <f t="shared" si="3"/>
        <v>166</v>
      </c>
      <c r="B203" s="1045" t="s">
        <v>203</v>
      </c>
      <c r="C203" s="101">
        <v>64</v>
      </c>
      <c r="D203" s="152" t="s">
        <v>3384</v>
      </c>
      <c r="E203" s="153">
        <f>'Update Descrip'!D2795</f>
        <v>360.44</v>
      </c>
      <c r="F203" s="154" t="s">
        <v>3170</v>
      </c>
      <c r="G203" s="281"/>
      <c r="I203" s="281"/>
    </row>
    <row r="204" spans="1:9" ht="20.25">
      <c r="A204" s="955">
        <f t="shared" si="3"/>
        <v>167</v>
      </c>
      <c r="B204" s="1045" t="s">
        <v>1148</v>
      </c>
      <c r="C204" s="101">
        <v>65</v>
      </c>
      <c r="D204" s="152" t="s">
        <v>3384</v>
      </c>
      <c r="E204" s="153">
        <f>'Update Descrip'!D2806</f>
        <v>340.72</v>
      </c>
      <c r="F204" s="154" t="s">
        <v>3170</v>
      </c>
      <c r="G204" s="281"/>
      <c r="I204" s="281"/>
    </row>
    <row r="205" spans="1:9" ht="20.25">
      <c r="A205" s="955">
        <f t="shared" si="3"/>
        <v>168</v>
      </c>
      <c r="B205" s="1045" t="s">
        <v>3339</v>
      </c>
      <c r="C205" s="101">
        <v>65</v>
      </c>
      <c r="D205" s="152" t="s">
        <v>3384</v>
      </c>
      <c r="E205" s="153">
        <f>'Update Descrip'!D2822</f>
        <v>304.39</v>
      </c>
      <c r="F205" s="154" t="s">
        <v>3170</v>
      </c>
      <c r="G205" s="281"/>
      <c r="I205" s="281"/>
    </row>
    <row r="206" spans="1:9" ht="20.25">
      <c r="A206" s="955">
        <f t="shared" si="3"/>
        <v>169</v>
      </c>
      <c r="B206" s="1045" t="s">
        <v>4148</v>
      </c>
      <c r="C206" s="101">
        <v>65</v>
      </c>
      <c r="D206" s="152" t="s">
        <v>3384</v>
      </c>
      <c r="E206" s="153">
        <f>'Update Descrip'!D2839</f>
        <v>246.84</v>
      </c>
      <c r="F206" s="154" t="s">
        <v>3170</v>
      </c>
      <c r="G206" s="281"/>
      <c r="I206" s="281"/>
    </row>
    <row r="207" spans="1:9" ht="20.25">
      <c r="A207" s="955">
        <f t="shared" si="3"/>
        <v>170</v>
      </c>
      <c r="B207" s="1044" t="s">
        <v>3499</v>
      </c>
      <c r="C207" s="101">
        <v>66</v>
      </c>
      <c r="D207" s="152" t="s">
        <v>3384</v>
      </c>
      <c r="E207" s="153">
        <f>'Update Descrip'!D2853</f>
        <v>185.95</v>
      </c>
      <c r="F207" s="154" t="s">
        <v>3170</v>
      </c>
      <c r="G207" s="281"/>
      <c r="I207" s="281"/>
    </row>
    <row r="208" spans="1:9" s="952" customFormat="1" ht="20.25">
      <c r="A208" s="955">
        <f t="shared" si="3"/>
        <v>171</v>
      </c>
      <c r="B208" s="1045" t="s">
        <v>4149</v>
      </c>
      <c r="C208" s="101">
        <v>66</v>
      </c>
      <c r="D208" s="152" t="s">
        <v>3384</v>
      </c>
      <c r="E208" s="153">
        <f>'Update Descrip'!D2868</f>
        <v>170.94</v>
      </c>
      <c r="F208" s="154" t="s">
        <v>3170</v>
      </c>
      <c r="G208" s="281"/>
      <c r="I208" s="281"/>
    </row>
    <row r="209" spans="1:9" s="952" customFormat="1" ht="20.25">
      <c r="A209" s="955">
        <f t="shared" si="3"/>
        <v>172</v>
      </c>
      <c r="B209" s="1045" t="s">
        <v>4150</v>
      </c>
      <c r="C209" s="101">
        <v>66</v>
      </c>
      <c r="D209" s="152" t="s">
        <v>3384</v>
      </c>
      <c r="E209" s="153">
        <f>'Update Descrip'!D2884</f>
        <v>154.97</v>
      </c>
      <c r="F209" s="154" t="s">
        <v>3170</v>
      </c>
      <c r="G209" s="281"/>
      <c r="I209" s="281"/>
    </row>
    <row r="210" spans="1:9" s="952" customFormat="1" ht="20.25">
      <c r="A210" s="955">
        <f t="shared" si="3"/>
        <v>173</v>
      </c>
      <c r="B210" s="1044" t="s">
        <v>4151</v>
      </c>
      <c r="C210" s="101">
        <v>67</v>
      </c>
      <c r="D210" s="152" t="s">
        <v>3384</v>
      </c>
      <c r="E210" s="153">
        <f>'Update Descrip'!D2897</f>
        <v>228.89</v>
      </c>
      <c r="F210" s="154" t="s">
        <v>3170</v>
      </c>
      <c r="G210" s="281"/>
      <c r="I210" s="281"/>
    </row>
    <row r="211" spans="1:9" s="952" customFormat="1" ht="20.25">
      <c r="A211" s="955">
        <f t="shared" si="3"/>
        <v>174</v>
      </c>
      <c r="B211" s="1044" t="s">
        <v>4618</v>
      </c>
      <c r="C211" s="101">
        <v>67</v>
      </c>
      <c r="D211" s="152" t="s">
        <v>3384</v>
      </c>
      <c r="E211" s="153">
        <f>'Update Descrip'!D2912</f>
        <v>198.25</v>
      </c>
      <c r="F211" s="154" t="s">
        <v>3170</v>
      </c>
      <c r="G211" s="281"/>
      <c r="I211" s="281"/>
    </row>
    <row r="212" spans="1:9" s="952" customFormat="1" ht="20.25">
      <c r="A212" s="955">
        <f t="shared" si="3"/>
        <v>175</v>
      </c>
      <c r="B212" s="1044" t="s">
        <v>4226</v>
      </c>
      <c r="C212" s="101">
        <v>67</v>
      </c>
      <c r="D212" s="152" t="s">
        <v>3384</v>
      </c>
      <c r="E212" s="153">
        <f>'Update Descrip'!D2928</f>
        <v>113.2</v>
      </c>
      <c r="F212" s="154" t="s">
        <v>3170</v>
      </c>
      <c r="G212" s="281"/>
      <c r="I212" s="281"/>
    </row>
    <row r="213" spans="1:9" s="952" customFormat="1" ht="20.25">
      <c r="A213" s="955">
        <f t="shared" si="3"/>
        <v>176</v>
      </c>
      <c r="B213" s="1044" t="s">
        <v>4617</v>
      </c>
      <c r="C213" s="101">
        <v>68</v>
      </c>
      <c r="D213" s="152" t="s">
        <v>3384</v>
      </c>
      <c r="E213" s="153">
        <f>'Update Descrip'!D2940</f>
        <v>59.18</v>
      </c>
      <c r="F213" s="154" t="s">
        <v>3170</v>
      </c>
      <c r="G213" s="281"/>
      <c r="I213" s="281"/>
    </row>
    <row r="214" spans="1:9" s="952" customFormat="1" ht="20.25">
      <c r="A214" s="955">
        <f t="shared" si="3"/>
        <v>177</v>
      </c>
      <c r="B214" s="1044" t="s">
        <v>4224</v>
      </c>
      <c r="C214" s="101">
        <v>68</v>
      </c>
      <c r="D214" s="152" t="s">
        <v>3384</v>
      </c>
      <c r="E214" s="153">
        <f>'Update Descrip'!D2955</f>
        <v>129.9</v>
      </c>
      <c r="F214" s="154" t="s">
        <v>3170</v>
      </c>
      <c r="G214" s="281"/>
      <c r="I214" s="281"/>
    </row>
    <row r="215" spans="1:9" s="952" customFormat="1" ht="20.25">
      <c r="A215" s="955">
        <f t="shared" si="3"/>
        <v>178</v>
      </c>
      <c r="B215" s="1044" t="s">
        <v>4225</v>
      </c>
      <c r="C215" s="101">
        <v>68</v>
      </c>
      <c r="D215" s="152" t="s">
        <v>3384</v>
      </c>
      <c r="E215" s="153">
        <f>'Update Descrip'!D2971</f>
        <v>188.08</v>
      </c>
      <c r="F215" s="154" t="s">
        <v>3170</v>
      </c>
      <c r="G215" s="281"/>
      <c r="I215" s="281"/>
    </row>
    <row r="216" spans="1:9" s="952" customFormat="1" ht="20.25">
      <c r="A216" s="955">
        <f t="shared" si="3"/>
        <v>179</v>
      </c>
      <c r="B216" s="1044" t="s">
        <v>4152</v>
      </c>
      <c r="C216" s="101">
        <v>69</v>
      </c>
      <c r="D216" s="152" t="s">
        <v>3384</v>
      </c>
      <c r="E216" s="153">
        <f>'Update Descrip'!B2985</f>
        <v>141.36000000000001</v>
      </c>
      <c r="F216" s="155" t="s">
        <v>2938</v>
      </c>
      <c r="G216" s="281"/>
      <c r="I216" s="281"/>
    </row>
    <row r="217" spans="1:9" s="952" customFormat="1" ht="20.25">
      <c r="A217" s="955">
        <f t="shared" si="3"/>
        <v>180</v>
      </c>
      <c r="B217" s="1044" t="s">
        <v>4223</v>
      </c>
      <c r="C217" s="101">
        <v>69</v>
      </c>
      <c r="D217" s="152" t="s">
        <v>3384</v>
      </c>
      <c r="E217" s="153">
        <f>'Update Descrip'!B2995</f>
        <v>632.5</v>
      </c>
      <c r="F217" s="154" t="s">
        <v>3170</v>
      </c>
      <c r="G217" s="281"/>
      <c r="I217" s="281"/>
    </row>
    <row r="218" spans="1:9" s="952" customFormat="1" ht="20.25">
      <c r="A218" s="955">
        <f t="shared" si="3"/>
        <v>181</v>
      </c>
      <c r="B218" s="1044" t="s">
        <v>4227</v>
      </c>
      <c r="C218" s="101">
        <v>69</v>
      </c>
      <c r="D218" s="152" t="s">
        <v>3384</v>
      </c>
      <c r="E218" s="153">
        <f>'Update Descrip'!D3005</f>
        <v>174.46</v>
      </c>
      <c r="F218" s="154" t="s">
        <v>3170</v>
      </c>
      <c r="G218" s="281"/>
      <c r="I218" s="281"/>
    </row>
    <row r="219" spans="1:9" ht="17.25">
      <c r="A219" s="956"/>
      <c r="B219" s="110"/>
      <c r="C219" s="101"/>
      <c r="D219" s="150"/>
      <c r="G219" s="281"/>
      <c r="I219" s="281"/>
    </row>
    <row r="220" spans="1:9" ht="18">
      <c r="A220" s="1203" t="s">
        <v>2</v>
      </c>
      <c r="B220" s="1203"/>
      <c r="C220" s="1203"/>
      <c r="D220" s="1203"/>
      <c r="E220" s="1203"/>
      <c r="F220" s="1203"/>
      <c r="G220" s="281"/>
      <c r="I220" s="281"/>
    </row>
    <row r="221" spans="1:9" ht="18">
      <c r="A221" s="947"/>
      <c r="G221" s="281"/>
      <c r="I221" s="281"/>
    </row>
    <row r="222" spans="1:9" ht="20.25">
      <c r="A222" s="959">
        <v>182</v>
      </c>
      <c r="B222" s="1046" t="s">
        <v>2019</v>
      </c>
      <c r="C222" s="101">
        <v>69</v>
      </c>
      <c r="D222" s="152" t="s">
        <v>3384</v>
      </c>
      <c r="E222" s="153">
        <f>'Update Descrip'!D3017</f>
        <v>27.06</v>
      </c>
      <c r="F222" s="154" t="s">
        <v>3170</v>
      </c>
      <c r="G222" s="281"/>
      <c r="I222" s="281"/>
    </row>
    <row r="223" spans="1:9" ht="20.25">
      <c r="A223" s="959">
        <f t="shared" ref="A223:A262" si="4">A222+1</f>
        <v>183</v>
      </c>
      <c r="B223" s="1044" t="s">
        <v>3374</v>
      </c>
      <c r="C223" s="101">
        <v>70</v>
      </c>
      <c r="D223" s="152" t="s">
        <v>3384</v>
      </c>
      <c r="E223" s="153">
        <f>'Update Descrip'!$D$3029</f>
        <v>23.61</v>
      </c>
      <c r="F223" s="154" t="s">
        <v>3170</v>
      </c>
      <c r="G223" s="281"/>
      <c r="I223" s="281"/>
    </row>
    <row r="224" spans="1:9" ht="20.25">
      <c r="A224" s="959">
        <f t="shared" si="4"/>
        <v>184</v>
      </c>
      <c r="B224" s="1044" t="s">
        <v>3375</v>
      </c>
      <c r="C224" s="101">
        <v>70</v>
      </c>
      <c r="D224" s="152" t="s">
        <v>3384</v>
      </c>
      <c r="E224" s="153">
        <f>'Update Descrip'!D3044</f>
        <v>51.45</v>
      </c>
      <c r="F224" s="154" t="s">
        <v>3170</v>
      </c>
      <c r="G224" s="281"/>
      <c r="I224" s="281"/>
    </row>
    <row r="225" spans="1:9" ht="20.25">
      <c r="A225" s="959">
        <f t="shared" si="4"/>
        <v>185</v>
      </c>
      <c r="B225" s="1044" t="s">
        <v>2108</v>
      </c>
      <c r="C225" s="101">
        <v>70</v>
      </c>
      <c r="D225" s="152" t="s">
        <v>3384</v>
      </c>
      <c r="E225" s="153">
        <f>'Update Descrip'!D3058</f>
        <v>44.03</v>
      </c>
      <c r="F225" s="154" t="s">
        <v>3170</v>
      </c>
      <c r="G225" s="281"/>
      <c r="I225" s="281"/>
    </row>
    <row r="226" spans="1:9" ht="20.25">
      <c r="A226" s="959">
        <f t="shared" si="4"/>
        <v>186</v>
      </c>
      <c r="B226" s="1044" t="s">
        <v>502</v>
      </c>
      <c r="C226" s="101">
        <v>71</v>
      </c>
      <c r="D226" s="152" t="s">
        <v>3384</v>
      </c>
      <c r="E226" s="153">
        <f>'Update Descrip'!D3070</f>
        <v>12.31</v>
      </c>
      <c r="F226" s="154" t="s">
        <v>3170</v>
      </c>
      <c r="G226" s="281"/>
      <c r="I226" s="281"/>
    </row>
    <row r="227" spans="1:9" ht="20.25">
      <c r="A227" s="959">
        <f t="shared" si="4"/>
        <v>187</v>
      </c>
      <c r="B227" s="1044" t="s">
        <v>1576</v>
      </c>
      <c r="C227" s="101">
        <v>71</v>
      </c>
      <c r="D227" s="152" t="s">
        <v>3384</v>
      </c>
      <c r="E227" s="153">
        <f>'Update Descrip'!D3084</f>
        <v>72.150000000000006</v>
      </c>
      <c r="F227" s="154" t="s">
        <v>3170</v>
      </c>
      <c r="G227" s="281"/>
      <c r="I227" s="281"/>
    </row>
    <row r="228" spans="1:9" ht="20.25">
      <c r="A228" s="959">
        <f t="shared" si="4"/>
        <v>188</v>
      </c>
      <c r="B228" s="1044" t="s">
        <v>3011</v>
      </c>
      <c r="C228" s="101">
        <v>71</v>
      </c>
      <c r="D228" s="152" t="s">
        <v>3384</v>
      </c>
      <c r="E228" s="153">
        <f>'Update Descrip'!D3100</f>
        <v>98.51</v>
      </c>
      <c r="F228" s="154" t="s">
        <v>3170</v>
      </c>
      <c r="G228" s="281"/>
      <c r="I228" s="281"/>
    </row>
    <row r="229" spans="1:9" ht="20.25">
      <c r="A229" s="959">
        <f t="shared" si="4"/>
        <v>189</v>
      </c>
      <c r="B229" s="1044" t="s">
        <v>3012</v>
      </c>
      <c r="C229" s="101">
        <v>72</v>
      </c>
      <c r="D229" s="152" t="s">
        <v>3384</v>
      </c>
      <c r="E229" s="153">
        <f>'Update Descrip'!D3112</f>
        <v>34.840000000000003</v>
      </c>
      <c r="F229" s="154" t="s">
        <v>3170</v>
      </c>
      <c r="G229" s="281"/>
      <c r="I229" s="281"/>
    </row>
    <row r="230" spans="1:9" ht="20.25">
      <c r="A230" s="959">
        <f t="shared" si="4"/>
        <v>190</v>
      </c>
      <c r="B230" s="1044" t="s">
        <v>3013</v>
      </c>
      <c r="C230" s="101">
        <v>72</v>
      </c>
      <c r="D230" s="152" t="s">
        <v>3384</v>
      </c>
      <c r="E230" s="153">
        <f>'Update Descrip'!D3126</f>
        <v>79.63</v>
      </c>
      <c r="F230" s="154" t="s">
        <v>3170</v>
      </c>
      <c r="G230" s="281"/>
      <c r="I230" s="281"/>
    </row>
    <row r="231" spans="1:9" ht="20.25">
      <c r="A231" s="959">
        <f t="shared" si="4"/>
        <v>191</v>
      </c>
      <c r="B231" s="1044" t="s">
        <v>4550</v>
      </c>
      <c r="C231" s="101">
        <v>72</v>
      </c>
      <c r="D231" s="152" t="s">
        <v>3384</v>
      </c>
      <c r="E231" s="153">
        <f>'Update Descrip'!D3142</f>
        <v>141.38</v>
      </c>
      <c r="F231" s="154" t="s">
        <v>3170</v>
      </c>
      <c r="G231" s="281"/>
      <c r="I231" s="281"/>
    </row>
    <row r="232" spans="1:9" ht="20.25">
      <c r="A232" s="959">
        <f t="shared" si="4"/>
        <v>192</v>
      </c>
      <c r="B232" s="1044" t="s">
        <v>1582</v>
      </c>
      <c r="C232" s="101">
        <v>73</v>
      </c>
      <c r="D232" s="152" t="s">
        <v>3384</v>
      </c>
      <c r="E232" s="153">
        <f>'Update Descrip'!D3155</f>
        <v>212.35</v>
      </c>
      <c r="F232" s="154" t="s">
        <v>3170</v>
      </c>
      <c r="G232" s="281"/>
      <c r="I232" s="281"/>
    </row>
    <row r="233" spans="1:9" ht="20.25">
      <c r="A233" s="959">
        <f t="shared" si="4"/>
        <v>193</v>
      </c>
      <c r="B233" s="1044" t="s">
        <v>1583</v>
      </c>
      <c r="C233" s="101">
        <v>73</v>
      </c>
      <c r="D233" s="152" t="s">
        <v>3384</v>
      </c>
      <c r="E233" s="153">
        <f>'Update Descrip'!D3169</f>
        <v>134.49</v>
      </c>
      <c r="F233" s="154" t="s">
        <v>3170</v>
      </c>
      <c r="G233" s="281"/>
      <c r="I233" s="281"/>
    </row>
    <row r="234" spans="1:9" ht="20.25">
      <c r="A234" s="959">
        <f t="shared" si="4"/>
        <v>194</v>
      </c>
      <c r="B234" s="1044" t="s">
        <v>2186</v>
      </c>
      <c r="C234" s="101">
        <v>73</v>
      </c>
      <c r="D234" s="152" t="s">
        <v>3384</v>
      </c>
      <c r="E234" s="153">
        <f>'Update Descrip'!D3184</f>
        <v>205.55</v>
      </c>
      <c r="F234" s="154" t="s">
        <v>3170</v>
      </c>
      <c r="G234" s="281"/>
      <c r="I234" s="281"/>
    </row>
    <row r="235" spans="1:9" ht="20.25">
      <c r="A235" s="959">
        <f t="shared" si="4"/>
        <v>195</v>
      </c>
      <c r="B235" s="1044" t="s">
        <v>2760</v>
      </c>
      <c r="C235" s="101">
        <v>74</v>
      </c>
      <c r="D235" s="152" t="s">
        <v>3384</v>
      </c>
      <c r="E235" s="153">
        <f>'Update Descrip'!D3194</f>
        <v>210.35</v>
      </c>
      <c r="F235" s="154" t="s">
        <v>3170</v>
      </c>
      <c r="G235" s="281"/>
      <c r="I235" s="281"/>
    </row>
    <row r="236" spans="1:9" ht="20.25">
      <c r="A236" s="959">
        <f t="shared" si="4"/>
        <v>196</v>
      </c>
      <c r="B236" s="1044" t="s">
        <v>1622</v>
      </c>
      <c r="C236" s="101">
        <v>74</v>
      </c>
      <c r="D236" s="152" t="s">
        <v>3384</v>
      </c>
      <c r="E236" s="153">
        <f>'Update Descrip'!D3208</f>
        <v>93.66</v>
      </c>
      <c r="F236" s="154" t="s">
        <v>3170</v>
      </c>
      <c r="G236" s="281"/>
      <c r="I236" s="281"/>
    </row>
    <row r="237" spans="1:9" ht="20.25">
      <c r="A237" s="959">
        <f t="shared" si="4"/>
        <v>197</v>
      </c>
      <c r="B237" s="1044" t="s">
        <v>2187</v>
      </c>
      <c r="C237" s="101">
        <v>74</v>
      </c>
      <c r="D237" s="152" t="s">
        <v>3384</v>
      </c>
      <c r="E237" s="153">
        <f>'Update Descrip'!D3224</f>
        <v>173.42000000000002</v>
      </c>
      <c r="F237" s="154" t="s">
        <v>3170</v>
      </c>
      <c r="G237" s="281"/>
      <c r="I237" s="281"/>
    </row>
    <row r="238" spans="1:9" ht="20.25">
      <c r="A238" s="959">
        <f t="shared" si="4"/>
        <v>198</v>
      </c>
      <c r="B238" s="1044" t="s">
        <v>1237</v>
      </c>
      <c r="C238" s="101">
        <v>75</v>
      </c>
      <c r="D238" s="152" t="s">
        <v>3384</v>
      </c>
      <c r="E238" s="153">
        <f>'Update Descrip'!D3238</f>
        <v>190.74</v>
      </c>
      <c r="F238" s="154" t="s">
        <v>3170</v>
      </c>
      <c r="G238" s="281"/>
      <c r="I238" s="281"/>
    </row>
    <row r="239" spans="1:9" ht="20.25">
      <c r="A239" s="959">
        <f t="shared" si="4"/>
        <v>199</v>
      </c>
      <c r="B239" s="1044" t="s">
        <v>2131</v>
      </c>
      <c r="C239" s="101">
        <v>75</v>
      </c>
      <c r="D239" s="152" t="s">
        <v>3384</v>
      </c>
      <c r="E239" s="153">
        <f>'Update Descrip'!D3251</f>
        <v>32.08</v>
      </c>
      <c r="F239" s="154" t="s">
        <v>3170</v>
      </c>
      <c r="G239" s="281"/>
      <c r="I239" s="281"/>
    </row>
    <row r="240" spans="1:9" ht="20.25">
      <c r="A240" s="959">
        <f t="shared" si="4"/>
        <v>200</v>
      </c>
      <c r="B240" s="1044" t="s">
        <v>2132</v>
      </c>
      <c r="C240" s="101">
        <v>75</v>
      </c>
      <c r="D240" s="152" t="s">
        <v>3384</v>
      </c>
      <c r="E240" s="153">
        <f>'Update Descrip'!D3266</f>
        <v>62.27</v>
      </c>
      <c r="F240" s="154" t="s">
        <v>3170</v>
      </c>
      <c r="G240" s="281"/>
      <c r="I240" s="281"/>
    </row>
    <row r="241" spans="1:9" ht="18.75" customHeight="1">
      <c r="A241" s="959">
        <f t="shared" si="4"/>
        <v>201</v>
      </c>
      <c r="B241" s="1044" t="s">
        <v>2989</v>
      </c>
      <c r="C241" s="101">
        <v>76</v>
      </c>
      <c r="D241" s="152" t="s">
        <v>3384</v>
      </c>
      <c r="E241" s="153">
        <f>'Update Descrip'!D3277</f>
        <v>52.26</v>
      </c>
      <c r="F241" s="154" t="s">
        <v>3170</v>
      </c>
      <c r="G241" s="281"/>
      <c r="I241" s="281"/>
    </row>
    <row r="242" spans="1:9" ht="20.25">
      <c r="A242" s="959">
        <f t="shared" si="4"/>
        <v>202</v>
      </c>
      <c r="B242" s="1044" t="s">
        <v>1274</v>
      </c>
      <c r="C242" s="101">
        <v>76</v>
      </c>
      <c r="D242" s="152" t="s">
        <v>3384</v>
      </c>
      <c r="E242" s="153">
        <f>'Update Descrip'!D3290</f>
        <v>100.28</v>
      </c>
      <c r="F242" s="154" t="s">
        <v>3170</v>
      </c>
      <c r="G242" s="281"/>
      <c r="I242" s="281"/>
    </row>
    <row r="243" spans="1:9" ht="20.25">
      <c r="A243" s="959">
        <f t="shared" si="4"/>
        <v>203</v>
      </c>
      <c r="B243" s="1044" t="s">
        <v>2133</v>
      </c>
      <c r="C243" s="101">
        <v>76</v>
      </c>
      <c r="D243" s="152" t="s">
        <v>3384</v>
      </c>
      <c r="E243" s="153">
        <f>'Update Descrip'!D3305</f>
        <v>32.68</v>
      </c>
      <c r="F243" s="154" t="s">
        <v>3170</v>
      </c>
      <c r="G243" s="281"/>
      <c r="I243" s="281"/>
    </row>
    <row r="244" spans="1:9" ht="20.25">
      <c r="A244" s="959">
        <f t="shared" si="4"/>
        <v>204</v>
      </c>
      <c r="B244" s="1044" t="s">
        <v>209</v>
      </c>
      <c r="C244" s="101">
        <v>77</v>
      </c>
      <c r="D244" s="152" t="s">
        <v>3384</v>
      </c>
      <c r="E244" s="153">
        <f>'Update Descrip'!D3317</f>
        <v>56.83</v>
      </c>
      <c r="F244" s="154" t="s">
        <v>3170</v>
      </c>
      <c r="G244" s="281"/>
      <c r="I244" s="281"/>
    </row>
    <row r="245" spans="1:9" ht="20.25">
      <c r="A245" s="959">
        <f t="shared" si="4"/>
        <v>205</v>
      </c>
      <c r="B245" s="1044" t="s">
        <v>674</v>
      </c>
      <c r="C245" s="101">
        <v>77</v>
      </c>
      <c r="D245" s="152" t="s">
        <v>3384</v>
      </c>
      <c r="E245" s="153">
        <f>'Update Descrip'!D3330</f>
        <v>111.03</v>
      </c>
      <c r="F245" s="154" t="s">
        <v>3170</v>
      </c>
      <c r="G245" s="281"/>
      <c r="I245" s="281"/>
    </row>
    <row r="246" spans="1:9" ht="20.25">
      <c r="A246" s="959">
        <f t="shared" si="4"/>
        <v>206</v>
      </c>
      <c r="B246" s="1044" t="s">
        <v>3636</v>
      </c>
      <c r="C246" s="101">
        <v>77</v>
      </c>
      <c r="D246" s="152" t="s">
        <v>3384</v>
      </c>
      <c r="E246" s="153">
        <f>'Update Descrip'!D3345</f>
        <v>93.49</v>
      </c>
      <c r="F246" s="154" t="s">
        <v>3170</v>
      </c>
      <c r="G246" s="281"/>
      <c r="I246" s="281"/>
    </row>
    <row r="247" spans="1:9" ht="20.25">
      <c r="A247" s="959">
        <f t="shared" si="4"/>
        <v>207</v>
      </c>
      <c r="B247" s="1044" t="s">
        <v>3486</v>
      </c>
      <c r="C247" s="101">
        <v>78</v>
      </c>
      <c r="D247" s="152" t="s">
        <v>3384</v>
      </c>
      <c r="E247" s="153">
        <f>'Update Descrip'!D3356</f>
        <v>158.93</v>
      </c>
      <c r="F247" s="154" t="s">
        <v>3170</v>
      </c>
      <c r="G247" s="281"/>
      <c r="I247" s="281"/>
    </row>
    <row r="248" spans="1:9" s="957" customFormat="1" ht="20.25">
      <c r="A248" s="959">
        <f t="shared" si="4"/>
        <v>208</v>
      </c>
      <c r="B248" s="1044" t="s">
        <v>4153</v>
      </c>
      <c r="C248" s="101">
        <v>78</v>
      </c>
      <c r="D248" s="152" t="s">
        <v>3384</v>
      </c>
      <c r="E248" s="153">
        <f>'Update Descrip'!D3370</f>
        <v>44.41</v>
      </c>
      <c r="F248" s="154" t="s">
        <v>3170</v>
      </c>
      <c r="G248" s="281"/>
      <c r="I248" s="281"/>
    </row>
    <row r="249" spans="1:9" s="957" customFormat="1" ht="20.25">
      <c r="A249" s="959">
        <f t="shared" si="4"/>
        <v>209</v>
      </c>
      <c r="B249" s="1044" t="s">
        <v>4154</v>
      </c>
      <c r="C249" s="101">
        <v>78</v>
      </c>
      <c r="D249" s="152" t="s">
        <v>3384</v>
      </c>
      <c r="E249" s="153">
        <f>'Update Descrip'!D3384</f>
        <v>80.930000000000007</v>
      </c>
      <c r="F249" s="154" t="s">
        <v>3170</v>
      </c>
      <c r="G249" s="281"/>
      <c r="I249" s="281"/>
    </row>
    <row r="250" spans="1:9" s="957" customFormat="1" ht="20.25">
      <c r="A250" s="959">
        <f t="shared" si="4"/>
        <v>210</v>
      </c>
      <c r="B250" s="1044" t="s">
        <v>4155</v>
      </c>
      <c r="C250" s="101">
        <v>79</v>
      </c>
      <c r="D250" s="152" t="s">
        <v>3384</v>
      </c>
      <c r="E250" s="153">
        <f>'Update Descrip'!D3399</f>
        <v>36.659999999999997</v>
      </c>
      <c r="F250" s="154" t="s">
        <v>3170</v>
      </c>
      <c r="G250" s="281"/>
      <c r="I250" s="281"/>
    </row>
    <row r="251" spans="1:9" s="957" customFormat="1" ht="20.25">
      <c r="A251" s="959">
        <f t="shared" si="4"/>
        <v>211</v>
      </c>
      <c r="B251" s="1044" t="s">
        <v>4156</v>
      </c>
      <c r="C251" s="101">
        <v>79</v>
      </c>
      <c r="D251" s="152" t="s">
        <v>3384</v>
      </c>
      <c r="E251" s="153">
        <f>'Update Descrip'!D3414</f>
        <v>38.61</v>
      </c>
      <c r="F251" s="154" t="s">
        <v>3170</v>
      </c>
      <c r="G251" s="281"/>
      <c r="I251" s="281"/>
    </row>
    <row r="252" spans="1:9" s="957" customFormat="1" ht="20.25">
      <c r="A252" s="959">
        <f t="shared" si="4"/>
        <v>212</v>
      </c>
      <c r="B252" s="1044" t="s">
        <v>4616</v>
      </c>
      <c r="C252" s="101">
        <v>79</v>
      </c>
      <c r="D252" s="152" t="s">
        <v>3384</v>
      </c>
      <c r="E252" s="153">
        <f>'Update Descrip'!D3429</f>
        <v>144.03</v>
      </c>
      <c r="F252" s="154" t="s">
        <v>3170</v>
      </c>
      <c r="G252" s="281"/>
      <c r="I252" s="281"/>
    </row>
    <row r="253" spans="1:9" s="957" customFormat="1" ht="20.25">
      <c r="A253" s="959">
        <f t="shared" si="4"/>
        <v>213</v>
      </c>
      <c r="B253" s="1044" t="s">
        <v>4157</v>
      </c>
      <c r="C253" s="101">
        <v>80</v>
      </c>
      <c r="D253" s="152" t="s">
        <v>3384</v>
      </c>
      <c r="E253" s="153">
        <f>'Update Descrip'!D3441</f>
        <v>82.38</v>
      </c>
      <c r="F253" s="154" t="s">
        <v>3170</v>
      </c>
      <c r="G253" s="281"/>
      <c r="I253" s="281"/>
    </row>
    <row r="254" spans="1:9" s="957" customFormat="1" ht="20.25">
      <c r="A254" s="959">
        <f t="shared" si="4"/>
        <v>214</v>
      </c>
      <c r="B254" s="1044" t="s">
        <v>4158</v>
      </c>
      <c r="C254" s="101">
        <v>80</v>
      </c>
      <c r="D254" s="152" t="s">
        <v>3384</v>
      </c>
      <c r="E254" s="153">
        <f>'Update Descrip'!D3454</f>
        <v>153.36000000000001</v>
      </c>
      <c r="F254" s="154" t="s">
        <v>3170</v>
      </c>
      <c r="G254" s="281"/>
      <c r="I254" s="281"/>
    </row>
    <row r="255" spans="1:9" s="957" customFormat="1" ht="20.25">
      <c r="A255" s="959">
        <f t="shared" si="4"/>
        <v>215</v>
      </c>
      <c r="B255" s="1044" t="s">
        <v>4159</v>
      </c>
      <c r="C255" s="101">
        <v>80</v>
      </c>
      <c r="D255" s="152" t="s">
        <v>3384</v>
      </c>
      <c r="E255" s="153">
        <f>'Update Descrip'!D3469</f>
        <v>82.48</v>
      </c>
      <c r="F255" s="154" t="s">
        <v>3170</v>
      </c>
      <c r="G255" s="281"/>
      <c r="I255" s="281"/>
    </row>
    <row r="256" spans="1:9" s="957" customFormat="1" ht="20.25">
      <c r="A256" s="959">
        <f t="shared" si="4"/>
        <v>216</v>
      </c>
      <c r="B256" s="1044" t="s">
        <v>4159</v>
      </c>
      <c r="C256" s="101">
        <v>81</v>
      </c>
      <c r="D256" s="152" t="s">
        <v>3384</v>
      </c>
      <c r="E256" s="153">
        <f>'Update Descrip'!D3483</f>
        <v>153.54</v>
      </c>
      <c r="F256" s="154" t="s">
        <v>3170</v>
      </c>
      <c r="G256" s="281"/>
      <c r="I256" s="281"/>
    </row>
    <row r="257" spans="1:9" s="957" customFormat="1" ht="20.25">
      <c r="A257" s="959">
        <f t="shared" si="4"/>
        <v>217</v>
      </c>
      <c r="B257" s="1044" t="s">
        <v>4160</v>
      </c>
      <c r="C257" s="101">
        <v>81</v>
      </c>
      <c r="D257" s="152" t="s">
        <v>3384</v>
      </c>
      <c r="E257" s="153">
        <f>'Update Descrip'!D3498</f>
        <v>64.62</v>
      </c>
      <c r="F257" s="154" t="s">
        <v>3170</v>
      </c>
      <c r="G257" s="281"/>
      <c r="I257" s="281"/>
    </row>
    <row r="258" spans="1:9" s="957" customFormat="1" ht="20.25">
      <c r="A258" s="959">
        <f t="shared" si="4"/>
        <v>218</v>
      </c>
      <c r="B258" s="1044" t="s">
        <v>4161</v>
      </c>
      <c r="C258" s="101">
        <v>81</v>
      </c>
      <c r="D258" s="152" t="s">
        <v>3384</v>
      </c>
      <c r="E258" s="153">
        <f>'Update Descrip'!D3514</f>
        <v>131.74</v>
      </c>
      <c r="F258" s="154" t="s">
        <v>3170</v>
      </c>
      <c r="G258" s="281"/>
      <c r="I258" s="281"/>
    </row>
    <row r="259" spans="1:9" s="957" customFormat="1" ht="20.25">
      <c r="A259" s="959">
        <f t="shared" si="4"/>
        <v>219</v>
      </c>
      <c r="B259" s="1044" t="s">
        <v>4162</v>
      </c>
      <c r="C259" s="101">
        <v>82</v>
      </c>
      <c r="D259" s="152" t="s">
        <v>3384</v>
      </c>
      <c r="E259" s="153">
        <f>'Update Descrip'!D3527</f>
        <v>63.6</v>
      </c>
      <c r="F259" s="154" t="s">
        <v>3170</v>
      </c>
      <c r="G259" s="281"/>
      <c r="I259" s="281"/>
    </row>
    <row r="260" spans="1:9" s="957" customFormat="1" ht="20.25">
      <c r="A260" s="959">
        <f t="shared" si="4"/>
        <v>220</v>
      </c>
      <c r="B260" s="1044" t="s">
        <v>4162</v>
      </c>
      <c r="C260" s="101">
        <v>82</v>
      </c>
      <c r="D260" s="152" t="s">
        <v>3384</v>
      </c>
      <c r="E260" s="153">
        <f>'Update Descrip'!D3541</f>
        <v>124.79</v>
      </c>
      <c r="F260" s="154" t="s">
        <v>3170</v>
      </c>
      <c r="G260" s="281"/>
      <c r="I260" s="281"/>
    </row>
    <row r="261" spans="1:9" s="957" customFormat="1" ht="20.25">
      <c r="A261" s="959">
        <f t="shared" si="4"/>
        <v>221</v>
      </c>
      <c r="B261" s="1044" t="s">
        <v>4163</v>
      </c>
      <c r="C261" s="101">
        <v>82</v>
      </c>
      <c r="D261" s="152" t="s">
        <v>3384</v>
      </c>
      <c r="E261" s="153">
        <f>'Update Descrip'!D3557</f>
        <v>106.3</v>
      </c>
      <c r="F261" s="154" t="s">
        <v>3170</v>
      </c>
      <c r="G261" s="281"/>
      <c r="I261" s="281"/>
    </row>
    <row r="262" spans="1:9" s="957" customFormat="1" ht="17.25">
      <c r="A262" s="959">
        <f t="shared" si="4"/>
        <v>222</v>
      </c>
      <c r="B262" s="960" t="s">
        <v>4165</v>
      </c>
      <c r="C262" s="101">
        <v>83</v>
      </c>
      <c r="D262" s="152" t="s">
        <v>3384</v>
      </c>
      <c r="E262" s="153">
        <f>'Update Descrip'!D3568</f>
        <v>1051.79</v>
      </c>
      <c r="F262" s="154" t="s">
        <v>3170</v>
      </c>
      <c r="G262" s="281"/>
      <c r="I262" s="281"/>
    </row>
    <row r="263" spans="1:9" s="957" customFormat="1" ht="17.25">
      <c r="A263" s="959">
        <f t="shared" ref="A263:A381" si="5">A262+1</f>
        <v>223</v>
      </c>
      <c r="B263" s="960" t="s">
        <v>4166</v>
      </c>
      <c r="C263" s="101">
        <v>83</v>
      </c>
      <c r="D263" s="152" t="s">
        <v>3384</v>
      </c>
      <c r="E263" s="153">
        <f>'Update Descrip'!D3580</f>
        <v>1299.27</v>
      </c>
      <c r="F263" s="154" t="s">
        <v>3170</v>
      </c>
      <c r="G263" s="281"/>
      <c r="I263" s="281"/>
    </row>
    <row r="264" spans="1:9" s="957" customFormat="1" ht="17.25">
      <c r="A264" s="959">
        <f t="shared" si="5"/>
        <v>224</v>
      </c>
      <c r="B264" s="960" t="s">
        <v>4167</v>
      </c>
      <c r="C264" s="101">
        <v>83</v>
      </c>
      <c r="D264" s="152" t="s">
        <v>3384</v>
      </c>
      <c r="E264" s="153">
        <f>'Update Descrip'!D3590</f>
        <v>1670.49</v>
      </c>
      <c r="F264" s="154" t="s">
        <v>3170</v>
      </c>
      <c r="G264" s="281"/>
      <c r="I264" s="281"/>
    </row>
    <row r="265" spans="1:9" s="957" customFormat="1" ht="17.25">
      <c r="A265" s="959">
        <f t="shared" si="5"/>
        <v>225</v>
      </c>
      <c r="B265" s="960" t="s">
        <v>4168</v>
      </c>
      <c r="C265" s="101">
        <v>83</v>
      </c>
      <c r="D265" s="152" t="s">
        <v>3384</v>
      </c>
      <c r="E265" s="153">
        <f>'Update Descrip'!D3603</f>
        <v>1051.79</v>
      </c>
      <c r="F265" s="154" t="s">
        <v>3170</v>
      </c>
      <c r="G265" s="281"/>
      <c r="I265" s="281"/>
    </row>
    <row r="266" spans="1:9" s="957" customFormat="1" ht="17.25">
      <c r="A266" s="959">
        <f t="shared" si="5"/>
        <v>226</v>
      </c>
      <c r="B266" s="960" t="s">
        <v>4169</v>
      </c>
      <c r="C266" s="101">
        <v>84</v>
      </c>
      <c r="D266" s="152" t="s">
        <v>3384</v>
      </c>
      <c r="E266" s="153">
        <f>'Update Descrip'!D3613</f>
        <v>272.22000000000003</v>
      </c>
      <c r="F266" s="154" t="s">
        <v>3170</v>
      </c>
      <c r="G266" s="281"/>
      <c r="I266" s="281"/>
    </row>
    <row r="267" spans="1:9" s="1036" customFormat="1" ht="17.25">
      <c r="A267" s="959"/>
      <c r="B267" s="960"/>
      <c r="C267" s="101"/>
      <c r="D267" s="152"/>
      <c r="E267" s="153"/>
      <c r="F267" s="154"/>
      <c r="G267" s="281"/>
      <c r="I267" s="281"/>
    </row>
    <row r="268" spans="1:9" s="957" customFormat="1" ht="18">
      <c r="A268" s="1203" t="s">
        <v>4557</v>
      </c>
      <c r="B268" s="1203"/>
      <c r="C268" s="1203"/>
      <c r="D268" s="1203"/>
      <c r="E268" s="1203"/>
      <c r="F268" s="1203"/>
      <c r="G268" s="281"/>
      <c r="I268" s="281"/>
    </row>
    <row r="269" spans="1:9" s="1036" customFormat="1" ht="18">
      <c r="A269" s="1038"/>
      <c r="B269" s="1038"/>
      <c r="C269" s="1038"/>
      <c r="D269" s="1038"/>
      <c r="E269" s="1038"/>
      <c r="F269" s="1038"/>
      <c r="G269" s="281"/>
      <c r="I269" s="281"/>
    </row>
    <row r="270" spans="1:9" s="957" customFormat="1" ht="17.25">
      <c r="A270" s="959">
        <f>A266+1</f>
        <v>227</v>
      </c>
      <c r="B270" s="960" t="s">
        <v>4170</v>
      </c>
      <c r="C270" s="101">
        <v>84</v>
      </c>
      <c r="D270" s="152" t="s">
        <v>3384</v>
      </c>
      <c r="E270" s="153">
        <f>'Update Descrip'!D3625</f>
        <v>482.58</v>
      </c>
      <c r="F270" s="154" t="s">
        <v>3170</v>
      </c>
      <c r="G270" s="281"/>
      <c r="I270" s="281"/>
    </row>
    <row r="271" spans="1:9" s="957" customFormat="1" ht="20.25">
      <c r="A271" s="959">
        <f t="shared" si="5"/>
        <v>228</v>
      </c>
      <c r="B271" s="1044" t="s">
        <v>4228</v>
      </c>
      <c r="C271" s="101">
        <v>84</v>
      </c>
      <c r="D271" s="152" t="s">
        <v>3384</v>
      </c>
      <c r="E271" s="153">
        <f>'Update Descrip'!D3642</f>
        <v>663.77</v>
      </c>
      <c r="F271" s="154" t="s">
        <v>3170</v>
      </c>
      <c r="G271" s="281"/>
      <c r="I271" s="281"/>
    </row>
    <row r="272" spans="1:9" s="957" customFormat="1" ht="20.25">
      <c r="A272" s="959">
        <f t="shared" si="5"/>
        <v>229</v>
      </c>
      <c r="B272" s="1044" t="s">
        <v>4229</v>
      </c>
      <c r="C272" s="101">
        <v>85</v>
      </c>
      <c r="D272" s="152" t="s">
        <v>3384</v>
      </c>
      <c r="E272" s="153">
        <f>'Update Descrip'!D3658</f>
        <v>1059.3700000000001</v>
      </c>
      <c r="F272" s="154" t="s">
        <v>3170</v>
      </c>
      <c r="G272" s="281"/>
      <c r="I272" s="281"/>
    </row>
    <row r="273" spans="1:9" s="957" customFormat="1" ht="20.25">
      <c r="A273" s="959">
        <f t="shared" si="5"/>
        <v>230</v>
      </c>
      <c r="B273" s="1044" t="s">
        <v>4171</v>
      </c>
      <c r="C273" s="101">
        <v>85</v>
      </c>
      <c r="D273" s="152" t="s">
        <v>3384</v>
      </c>
      <c r="E273" s="153">
        <f>'Update Descrip'!D3674</f>
        <v>354.77</v>
      </c>
      <c r="F273" s="154" t="s">
        <v>3170</v>
      </c>
      <c r="G273" s="281"/>
      <c r="I273" s="281"/>
    </row>
    <row r="274" spans="1:9" s="957" customFormat="1" ht="20.25">
      <c r="A274" s="959">
        <f t="shared" si="5"/>
        <v>231</v>
      </c>
      <c r="B274" s="1045" t="s">
        <v>4172</v>
      </c>
      <c r="C274" s="101">
        <v>85</v>
      </c>
      <c r="D274" s="152" t="s">
        <v>3384</v>
      </c>
      <c r="E274" s="153">
        <f>'Update Descrip'!D3691</f>
        <v>385.3</v>
      </c>
      <c r="F274" s="154" t="s">
        <v>3170</v>
      </c>
      <c r="G274" s="281"/>
      <c r="I274" s="281"/>
    </row>
    <row r="275" spans="1:9" s="957" customFormat="1" ht="20.25">
      <c r="A275" s="959">
        <f t="shared" si="5"/>
        <v>232</v>
      </c>
      <c r="B275" s="1045" t="s">
        <v>4173</v>
      </c>
      <c r="C275" s="101">
        <v>86</v>
      </c>
      <c r="D275" s="152" t="s">
        <v>3384</v>
      </c>
      <c r="E275" s="153">
        <f>'Update Descrip'!D3705</f>
        <v>464.2</v>
      </c>
      <c r="F275" s="154" t="s">
        <v>3170</v>
      </c>
      <c r="G275" s="281"/>
      <c r="I275" s="281"/>
    </row>
    <row r="276" spans="1:9" s="957" customFormat="1" ht="20.25">
      <c r="A276" s="959">
        <f t="shared" si="5"/>
        <v>233</v>
      </c>
      <c r="B276" s="1045" t="s">
        <v>4174</v>
      </c>
      <c r="C276" s="101">
        <v>86</v>
      </c>
      <c r="D276" s="152" t="s">
        <v>3384</v>
      </c>
      <c r="E276" s="153">
        <f>'Update Descrip'!D3718</f>
        <v>350.54</v>
      </c>
      <c r="F276" s="154" t="s">
        <v>3170</v>
      </c>
      <c r="G276" s="281"/>
      <c r="I276" s="281"/>
    </row>
    <row r="277" spans="1:9" s="957" customFormat="1" ht="20.25">
      <c r="A277" s="959">
        <f t="shared" si="5"/>
        <v>234</v>
      </c>
      <c r="B277" s="1045" t="s">
        <v>4230</v>
      </c>
      <c r="C277" s="101">
        <v>86</v>
      </c>
      <c r="D277" s="152" t="s">
        <v>3384</v>
      </c>
      <c r="E277" s="153">
        <f>'Update Descrip'!D3731</f>
        <v>100.05</v>
      </c>
      <c r="F277" s="154" t="s">
        <v>3170</v>
      </c>
      <c r="G277" s="281"/>
      <c r="I277" s="281"/>
    </row>
    <row r="278" spans="1:9" s="957" customFormat="1" ht="20.25">
      <c r="A278" s="959">
        <f t="shared" si="5"/>
        <v>235</v>
      </c>
      <c r="B278" s="1044" t="s">
        <v>4231</v>
      </c>
      <c r="C278" s="101">
        <v>87</v>
      </c>
      <c r="D278" s="152" t="s">
        <v>3384</v>
      </c>
      <c r="E278" s="153">
        <f>'Update Descrip'!D3746</f>
        <v>673.26</v>
      </c>
      <c r="F278" s="154" t="s">
        <v>3170</v>
      </c>
      <c r="G278" s="281"/>
      <c r="I278" s="281"/>
    </row>
    <row r="279" spans="1:9" s="957" customFormat="1" ht="20.25">
      <c r="A279" s="959">
        <f t="shared" si="5"/>
        <v>236</v>
      </c>
      <c r="B279" s="1044" t="s">
        <v>4232</v>
      </c>
      <c r="C279" s="101">
        <v>87</v>
      </c>
      <c r="D279" s="152" t="s">
        <v>3384</v>
      </c>
      <c r="E279" s="153">
        <f>'Update Descrip'!D3762</f>
        <v>1078.3499999999999</v>
      </c>
      <c r="F279" s="154" t="s">
        <v>3170</v>
      </c>
      <c r="G279" s="281"/>
      <c r="I279" s="281"/>
    </row>
    <row r="280" spans="1:9" s="957" customFormat="1" ht="20.25">
      <c r="A280" s="959">
        <f t="shared" si="5"/>
        <v>237</v>
      </c>
      <c r="B280" s="1045" t="s">
        <v>4175</v>
      </c>
      <c r="C280" s="101">
        <v>87</v>
      </c>
      <c r="D280" s="152" t="s">
        <v>3384</v>
      </c>
      <c r="E280" s="153">
        <f>'Update Descrip'!D3779</f>
        <v>816.86</v>
      </c>
      <c r="F280" s="154" t="s">
        <v>3170</v>
      </c>
      <c r="G280" s="281"/>
      <c r="I280" s="281"/>
    </row>
    <row r="281" spans="1:9" s="957" customFormat="1" ht="17.25">
      <c r="A281" s="959">
        <f t="shared" si="5"/>
        <v>238</v>
      </c>
      <c r="B281" s="100" t="s">
        <v>4615</v>
      </c>
      <c r="C281" s="101">
        <v>88</v>
      </c>
      <c r="D281" s="152" t="s">
        <v>3384</v>
      </c>
      <c r="E281" s="153">
        <f>'Update Descrip'!B3792</f>
        <v>593.95000000000005</v>
      </c>
      <c r="F281" s="154" t="s">
        <v>3170</v>
      </c>
      <c r="G281" s="281"/>
      <c r="I281" s="281"/>
    </row>
    <row r="282" spans="1:9" s="957" customFormat="1" ht="17.25">
      <c r="A282" s="959">
        <f t="shared" si="5"/>
        <v>239</v>
      </c>
      <c r="B282" s="100" t="s">
        <v>4614</v>
      </c>
      <c r="C282" s="101">
        <v>88</v>
      </c>
      <c r="D282" s="152" t="s">
        <v>3384</v>
      </c>
      <c r="E282" s="153">
        <f>'Update Descrip'!B3806</f>
        <v>634.16000000000008</v>
      </c>
      <c r="F282" s="154" t="s">
        <v>3170</v>
      </c>
      <c r="G282" s="281"/>
      <c r="I282" s="281"/>
    </row>
    <row r="283" spans="1:9" s="1036" customFormat="1" ht="17.25">
      <c r="A283" s="959"/>
      <c r="B283" s="100"/>
      <c r="C283" s="101"/>
      <c r="D283" s="152"/>
      <c r="E283" s="153"/>
      <c r="F283" s="154"/>
      <c r="G283" s="281"/>
      <c r="I283" s="281"/>
    </row>
    <row r="284" spans="1:9" s="1036" customFormat="1" ht="18">
      <c r="A284" s="1203" t="s">
        <v>4566</v>
      </c>
      <c r="B284" s="1203"/>
      <c r="C284" s="1203"/>
      <c r="D284" s="1203"/>
      <c r="E284" s="1203"/>
      <c r="F284" s="1203"/>
      <c r="G284" s="281"/>
      <c r="I284" s="281"/>
    </row>
    <row r="285" spans="1:9" s="1036" customFormat="1" ht="17.25">
      <c r="A285" s="959"/>
      <c r="B285" s="100"/>
      <c r="C285" s="101"/>
      <c r="D285" s="152"/>
      <c r="E285" s="153"/>
      <c r="F285" s="154"/>
      <c r="G285" s="281"/>
      <c r="I285" s="281"/>
    </row>
    <row r="286" spans="1:9" s="957" customFormat="1" ht="17.25">
      <c r="A286" s="959">
        <f>A282+1</f>
        <v>240</v>
      </c>
      <c r="B286" s="100" t="s">
        <v>4558</v>
      </c>
      <c r="C286" s="101">
        <v>88</v>
      </c>
      <c r="D286" s="152" t="s">
        <v>3384</v>
      </c>
      <c r="E286" s="153">
        <f>'Update Descrip'!B3816</f>
        <v>433.09000000000003</v>
      </c>
      <c r="F286" s="154" t="s">
        <v>3170</v>
      </c>
      <c r="G286" s="281"/>
      <c r="I286" s="281"/>
    </row>
    <row r="287" spans="1:9" s="957" customFormat="1" ht="17.25">
      <c r="A287" s="959">
        <f t="shared" si="5"/>
        <v>241</v>
      </c>
      <c r="B287" s="100" t="s">
        <v>4559</v>
      </c>
      <c r="C287" s="101">
        <v>88</v>
      </c>
      <c r="D287" s="152" t="s">
        <v>3384</v>
      </c>
      <c r="E287" s="153">
        <f>'Update Descrip'!B3828</f>
        <v>544.45000000000005</v>
      </c>
      <c r="F287" s="154" t="s">
        <v>3170</v>
      </c>
      <c r="G287" s="281"/>
      <c r="I287" s="281"/>
    </row>
    <row r="288" spans="1:9" s="957" customFormat="1" ht="17.25">
      <c r="A288" s="959">
        <f t="shared" si="5"/>
        <v>242</v>
      </c>
      <c r="B288" s="100" t="s">
        <v>4560</v>
      </c>
      <c r="C288" s="101">
        <v>89</v>
      </c>
      <c r="D288" s="152" t="s">
        <v>3384</v>
      </c>
      <c r="E288" s="153">
        <f>'Update Descrip'!B3838</f>
        <v>643.43999999999994</v>
      </c>
      <c r="F288" s="154" t="s">
        <v>3170</v>
      </c>
      <c r="G288" s="281"/>
      <c r="I288" s="281"/>
    </row>
    <row r="289" spans="1:9" s="957" customFormat="1" ht="17.25">
      <c r="A289" s="959">
        <f t="shared" si="5"/>
        <v>243</v>
      </c>
      <c r="B289" s="100" t="s">
        <v>4561</v>
      </c>
      <c r="C289" s="101">
        <v>89</v>
      </c>
      <c r="D289" s="152" t="s">
        <v>3384</v>
      </c>
      <c r="E289" s="153">
        <f>'Update Descrip'!B3849</f>
        <v>373.75</v>
      </c>
      <c r="F289" s="154" t="s">
        <v>4551</v>
      </c>
      <c r="G289" s="281"/>
      <c r="I289" s="281"/>
    </row>
    <row r="290" spans="1:9" s="957" customFormat="1" ht="17.25">
      <c r="A290" s="959">
        <f t="shared" si="5"/>
        <v>244</v>
      </c>
      <c r="B290" s="100" t="s">
        <v>4176</v>
      </c>
      <c r="C290" s="101">
        <v>89</v>
      </c>
      <c r="D290" s="152" t="s">
        <v>3384</v>
      </c>
      <c r="E290" s="153">
        <f>'Update Descrip'!B3862</f>
        <v>7129.08</v>
      </c>
      <c r="F290" s="154" t="s">
        <v>3170</v>
      </c>
      <c r="G290" s="281"/>
      <c r="I290" s="281"/>
    </row>
    <row r="291" spans="1:9" s="1036" customFormat="1" ht="17.25">
      <c r="A291" s="959"/>
      <c r="B291" s="100"/>
      <c r="C291" s="101"/>
      <c r="D291" s="152"/>
      <c r="E291" s="153"/>
      <c r="F291" s="154"/>
      <c r="G291" s="281"/>
      <c r="I291" s="281"/>
    </row>
    <row r="292" spans="1:9" s="1036" customFormat="1" ht="18">
      <c r="A292" s="1203" t="s">
        <v>4562</v>
      </c>
      <c r="B292" s="1203"/>
      <c r="C292" s="1203"/>
      <c r="D292" s="1203"/>
      <c r="E292" s="1203"/>
      <c r="F292" s="1203"/>
      <c r="G292" s="281"/>
      <c r="I292" s="281"/>
    </row>
    <row r="293" spans="1:9" s="1036" customFormat="1" ht="17.25">
      <c r="A293" s="959"/>
      <c r="B293" s="100"/>
      <c r="C293" s="101"/>
      <c r="D293" s="152"/>
      <c r="E293" s="153"/>
      <c r="F293" s="154"/>
      <c r="G293" s="281"/>
      <c r="I293" s="281"/>
    </row>
    <row r="294" spans="1:9" s="957" customFormat="1" ht="20.25">
      <c r="A294" s="959">
        <f>A290+1</f>
        <v>245</v>
      </c>
      <c r="B294" s="1045" t="s">
        <v>4613</v>
      </c>
      <c r="C294" s="101">
        <v>89</v>
      </c>
      <c r="D294" s="152" t="s">
        <v>3384</v>
      </c>
      <c r="E294" s="153">
        <f>'Update Descrip'!B3872</f>
        <v>457.12</v>
      </c>
      <c r="F294" s="154" t="s">
        <v>855</v>
      </c>
      <c r="G294" s="281"/>
      <c r="I294" s="281"/>
    </row>
    <row r="295" spans="1:9" s="957" customFormat="1" ht="20.25">
      <c r="A295" s="959">
        <f t="shared" si="5"/>
        <v>246</v>
      </c>
      <c r="B295" s="1045" t="s">
        <v>4612</v>
      </c>
      <c r="C295" s="101">
        <v>90</v>
      </c>
      <c r="D295" s="152" t="s">
        <v>3384</v>
      </c>
      <c r="E295" s="153">
        <f>'Update Descrip'!B3882</f>
        <v>914.25</v>
      </c>
      <c r="F295" s="154" t="s">
        <v>855</v>
      </c>
      <c r="G295" s="281"/>
      <c r="I295" s="281"/>
    </row>
    <row r="296" spans="1:9" s="957" customFormat="1" ht="20.25">
      <c r="A296" s="959">
        <f t="shared" si="5"/>
        <v>247</v>
      </c>
      <c r="B296" s="1045" t="s">
        <v>4177</v>
      </c>
      <c r="C296" s="101">
        <v>90</v>
      </c>
      <c r="D296" s="152" t="s">
        <v>3384</v>
      </c>
      <c r="E296" s="153">
        <f>'Update Descrip'!B3893</f>
        <v>4743.75</v>
      </c>
      <c r="F296" s="154" t="s">
        <v>855</v>
      </c>
      <c r="G296" s="281"/>
      <c r="I296" s="281"/>
    </row>
    <row r="297" spans="1:9" s="957" customFormat="1" ht="20.25">
      <c r="A297" s="959">
        <f t="shared" si="5"/>
        <v>248</v>
      </c>
      <c r="B297" s="1045" t="s">
        <v>4178</v>
      </c>
      <c r="C297" s="101">
        <v>90</v>
      </c>
      <c r="D297" s="152" t="s">
        <v>3384</v>
      </c>
      <c r="E297" s="153">
        <f>'Update Descrip'!B3905</f>
        <v>1725</v>
      </c>
      <c r="F297" s="154" t="s">
        <v>855</v>
      </c>
      <c r="G297" s="281"/>
      <c r="I297" s="281"/>
    </row>
    <row r="298" spans="1:9" s="957" customFormat="1" ht="20.25">
      <c r="A298" s="959">
        <f t="shared" si="5"/>
        <v>249</v>
      </c>
      <c r="B298" s="1045" t="s">
        <v>4233</v>
      </c>
      <c r="C298" s="101">
        <v>90</v>
      </c>
      <c r="D298" s="152" t="s">
        <v>3384</v>
      </c>
      <c r="E298" s="153">
        <f>'Update Descrip'!B3916</f>
        <v>46.57</v>
      </c>
      <c r="F298" s="154" t="s">
        <v>3170</v>
      </c>
      <c r="G298" s="281"/>
      <c r="I298" s="281"/>
    </row>
    <row r="299" spans="1:9" s="957" customFormat="1" ht="20.25">
      <c r="A299" s="959">
        <f t="shared" si="5"/>
        <v>250</v>
      </c>
      <c r="B299" s="1044" t="s">
        <v>4234</v>
      </c>
      <c r="C299" s="101">
        <v>91</v>
      </c>
      <c r="D299" s="152" t="s">
        <v>3384</v>
      </c>
      <c r="E299" s="153">
        <f>'Update Descrip'!B3927</f>
        <v>67.52</v>
      </c>
      <c r="F299" s="154" t="s">
        <v>3170</v>
      </c>
      <c r="G299" s="281"/>
      <c r="I299" s="281"/>
    </row>
    <row r="300" spans="1:9" s="957" customFormat="1" ht="20.25">
      <c r="A300" s="959">
        <f t="shared" si="5"/>
        <v>251</v>
      </c>
      <c r="B300" s="1044" t="s">
        <v>4611</v>
      </c>
      <c r="C300" s="101">
        <v>91</v>
      </c>
      <c r="D300" s="152" t="s">
        <v>3384</v>
      </c>
      <c r="E300" s="153">
        <f>'Update Descrip'!B3942</f>
        <v>12064.63</v>
      </c>
      <c r="F300" s="154" t="s">
        <v>855</v>
      </c>
      <c r="G300" s="281"/>
      <c r="I300" s="281"/>
    </row>
    <row r="301" spans="1:9" s="957" customFormat="1" ht="20.25">
      <c r="A301" s="959">
        <f t="shared" si="5"/>
        <v>252</v>
      </c>
      <c r="B301" s="1045" t="s">
        <v>4610</v>
      </c>
      <c r="C301" s="101">
        <v>91</v>
      </c>
      <c r="D301" s="152" t="s">
        <v>3384</v>
      </c>
      <c r="E301" s="153">
        <f>'Update Descrip'!D3958</f>
        <v>154.69</v>
      </c>
      <c r="F301" s="154" t="s">
        <v>3170</v>
      </c>
      <c r="G301" s="281"/>
      <c r="I301" s="281"/>
    </row>
    <row r="302" spans="1:9" s="957" customFormat="1" ht="20.25">
      <c r="A302" s="959">
        <f t="shared" si="5"/>
        <v>253</v>
      </c>
      <c r="B302" s="1045" t="s">
        <v>4179</v>
      </c>
      <c r="C302" s="101">
        <v>92</v>
      </c>
      <c r="D302" s="152" t="s">
        <v>3384</v>
      </c>
      <c r="E302" s="153">
        <f>'Update Descrip'!D3971</f>
        <v>41.47</v>
      </c>
      <c r="F302" s="154" t="s">
        <v>3170</v>
      </c>
      <c r="G302" s="281"/>
      <c r="I302" s="281"/>
    </row>
    <row r="303" spans="1:9" s="957" customFormat="1" ht="20.25">
      <c r="A303" s="959">
        <f t="shared" si="5"/>
        <v>254</v>
      </c>
      <c r="B303" s="1045" t="s">
        <v>4180</v>
      </c>
      <c r="C303" s="101">
        <v>92</v>
      </c>
      <c r="D303" s="152" t="s">
        <v>3384</v>
      </c>
      <c r="E303" s="153">
        <f>'Update Descrip'!D3987</f>
        <v>171.19</v>
      </c>
      <c r="F303" s="154" t="s">
        <v>3170</v>
      </c>
      <c r="G303" s="281"/>
      <c r="I303" s="281"/>
    </row>
    <row r="304" spans="1:9" s="957" customFormat="1" ht="20.25">
      <c r="A304" s="959">
        <f t="shared" si="5"/>
        <v>255</v>
      </c>
      <c r="B304" s="1044" t="s">
        <v>4181</v>
      </c>
      <c r="C304" s="101">
        <v>92</v>
      </c>
      <c r="D304" s="152" t="s">
        <v>3384</v>
      </c>
      <c r="E304" s="153">
        <f>'Update Descrip'!D4002</f>
        <v>1.87</v>
      </c>
      <c r="F304" s="154" t="s">
        <v>4185</v>
      </c>
      <c r="G304" s="281"/>
      <c r="I304" s="281"/>
    </row>
    <row r="305" spans="1:9" s="957" customFormat="1" ht="20.25">
      <c r="A305" s="959">
        <f t="shared" si="5"/>
        <v>256</v>
      </c>
      <c r="B305" s="1045" t="s">
        <v>4182</v>
      </c>
      <c r="C305" s="101">
        <v>93</v>
      </c>
      <c r="D305" s="152" t="s">
        <v>3384</v>
      </c>
      <c r="E305" s="153">
        <f>'Update Descrip'!D4014</f>
        <v>2.44</v>
      </c>
      <c r="F305" s="154" t="s">
        <v>4185</v>
      </c>
      <c r="G305" s="281"/>
      <c r="I305" s="281"/>
    </row>
    <row r="306" spans="1:9" s="957" customFormat="1" ht="20.25">
      <c r="A306" s="959">
        <f t="shared" si="5"/>
        <v>257</v>
      </c>
      <c r="B306" s="1044" t="s">
        <v>4183</v>
      </c>
      <c r="C306" s="101">
        <v>93</v>
      </c>
      <c r="D306" s="152" t="s">
        <v>3384</v>
      </c>
      <c r="E306" s="153">
        <f>'Update Descrip'!D4027</f>
        <v>3.09</v>
      </c>
      <c r="F306" s="154" t="s">
        <v>4185</v>
      </c>
      <c r="G306" s="281"/>
      <c r="I306" s="281"/>
    </row>
    <row r="307" spans="1:9" s="957" customFormat="1" ht="20.25">
      <c r="A307" s="959">
        <f t="shared" si="5"/>
        <v>258</v>
      </c>
      <c r="B307" s="1045" t="s">
        <v>4609</v>
      </c>
      <c r="C307" s="101">
        <v>93</v>
      </c>
      <c r="D307" s="152" t="s">
        <v>3384</v>
      </c>
      <c r="E307" s="153">
        <f>'Update Descrip'!B4040</f>
        <v>697.32500000000005</v>
      </c>
      <c r="F307" s="154" t="s">
        <v>855</v>
      </c>
      <c r="G307" s="281"/>
      <c r="I307" s="281"/>
    </row>
    <row r="308" spans="1:9" s="957" customFormat="1" ht="20.25">
      <c r="A308" s="959">
        <f t="shared" si="5"/>
        <v>259</v>
      </c>
      <c r="B308" s="1045" t="s">
        <v>4184</v>
      </c>
      <c r="C308" s="101">
        <v>94</v>
      </c>
      <c r="D308" s="152" t="s">
        <v>3384</v>
      </c>
      <c r="E308" s="153">
        <f>'Update Descrip'!B4052</f>
        <v>1285.98</v>
      </c>
      <c r="F308" s="154" t="s">
        <v>855</v>
      </c>
      <c r="G308" s="281"/>
      <c r="I308" s="281"/>
    </row>
    <row r="309" spans="1:9" s="957" customFormat="1" ht="20.25">
      <c r="A309" s="959">
        <f t="shared" si="5"/>
        <v>260</v>
      </c>
      <c r="B309" s="1044" t="s">
        <v>4235</v>
      </c>
      <c r="C309" s="101">
        <v>94</v>
      </c>
      <c r="D309" s="152" t="s">
        <v>3384</v>
      </c>
      <c r="E309" s="153">
        <f>'Update Descrip'!B4064</f>
        <v>1675.405</v>
      </c>
      <c r="F309" s="154" t="s">
        <v>2228</v>
      </c>
      <c r="G309" s="281"/>
      <c r="I309" s="281"/>
    </row>
    <row r="310" spans="1:9" s="957" customFormat="1" ht="20.25">
      <c r="A310" s="959">
        <f t="shared" si="5"/>
        <v>261</v>
      </c>
      <c r="B310" s="1045" t="s">
        <v>4186</v>
      </c>
      <c r="C310" s="101">
        <v>94</v>
      </c>
      <c r="D310" s="152" t="s">
        <v>3384</v>
      </c>
      <c r="E310" s="153">
        <f>'Update Descrip'!B4074</f>
        <v>194.06</v>
      </c>
      <c r="F310" s="154" t="s">
        <v>3170</v>
      </c>
      <c r="G310" s="281"/>
      <c r="I310" s="281"/>
    </row>
    <row r="311" spans="1:9" s="957" customFormat="1" ht="20.25">
      <c r="A311" s="959">
        <f t="shared" si="5"/>
        <v>262</v>
      </c>
      <c r="B311" s="1044" t="s">
        <v>4608</v>
      </c>
      <c r="C311" s="101">
        <v>94</v>
      </c>
      <c r="D311" s="152" t="s">
        <v>3384</v>
      </c>
      <c r="E311" s="153">
        <f>'Update Descrip'!B4084</f>
        <v>181.12</v>
      </c>
      <c r="F311" s="154" t="s">
        <v>3170</v>
      </c>
      <c r="G311" s="281"/>
      <c r="I311" s="281"/>
    </row>
    <row r="312" spans="1:9" s="957" customFormat="1" ht="20.25">
      <c r="A312" s="959">
        <f t="shared" si="5"/>
        <v>263</v>
      </c>
      <c r="B312" s="1044" t="s">
        <v>4607</v>
      </c>
      <c r="C312" s="101">
        <v>95</v>
      </c>
      <c r="D312" s="152" t="s">
        <v>3384</v>
      </c>
      <c r="E312" s="153">
        <f>'Update Descrip'!B4093</f>
        <v>172.5</v>
      </c>
      <c r="F312" s="154" t="s">
        <v>3170</v>
      </c>
      <c r="G312" s="281"/>
      <c r="I312" s="281"/>
    </row>
    <row r="313" spans="1:9" s="957" customFormat="1" ht="20.25">
      <c r="A313" s="959">
        <f t="shared" si="5"/>
        <v>264</v>
      </c>
      <c r="B313" s="1044" t="s">
        <v>4606</v>
      </c>
      <c r="C313" s="101">
        <v>95</v>
      </c>
      <c r="D313" s="152" t="s">
        <v>3384</v>
      </c>
      <c r="E313" s="153">
        <f>'Update Descrip'!B4104</f>
        <v>33.54</v>
      </c>
      <c r="F313" s="154" t="s">
        <v>3170</v>
      </c>
      <c r="G313" s="281"/>
      <c r="I313" s="281"/>
    </row>
    <row r="314" spans="1:9" s="1036" customFormat="1" ht="20.25">
      <c r="A314" s="959"/>
      <c r="B314" s="1044"/>
      <c r="C314" s="101"/>
      <c r="D314" s="152"/>
      <c r="E314" s="153"/>
      <c r="F314" s="154"/>
      <c r="G314" s="281"/>
      <c r="I314" s="281"/>
    </row>
    <row r="315" spans="1:9" s="1036" customFormat="1" ht="18">
      <c r="A315" s="1203" t="s">
        <v>4563</v>
      </c>
      <c r="B315" s="1203"/>
      <c r="C315" s="1203"/>
      <c r="D315" s="1203"/>
      <c r="E315" s="1203"/>
      <c r="F315" s="1203"/>
      <c r="G315" s="281"/>
      <c r="I315" s="281"/>
    </row>
    <row r="316" spans="1:9" s="1036" customFormat="1" ht="19.5">
      <c r="A316" s="959"/>
      <c r="B316" s="95"/>
      <c r="C316" s="101"/>
      <c r="D316" s="152"/>
      <c r="E316" s="153"/>
      <c r="F316" s="154"/>
      <c r="G316" s="281"/>
      <c r="I316" s="281"/>
    </row>
    <row r="317" spans="1:9" s="957" customFormat="1" ht="20.25">
      <c r="A317" s="959">
        <f>A313+1</f>
        <v>265</v>
      </c>
      <c r="B317" s="1044" t="s">
        <v>4236</v>
      </c>
      <c r="C317" s="101">
        <v>95</v>
      </c>
      <c r="D317" s="152" t="s">
        <v>3384</v>
      </c>
      <c r="E317" s="153">
        <f>'Update Descrip'!D4116</f>
        <v>132.82</v>
      </c>
      <c r="F317" s="154" t="s">
        <v>3096</v>
      </c>
      <c r="G317" s="281"/>
      <c r="I317" s="281"/>
    </row>
    <row r="318" spans="1:9" s="957" customFormat="1" ht="20.25">
      <c r="A318" s="959">
        <f t="shared" si="5"/>
        <v>266</v>
      </c>
      <c r="B318" s="1044" t="s">
        <v>4580</v>
      </c>
      <c r="C318" s="101">
        <v>95</v>
      </c>
      <c r="D318" s="152" t="s">
        <v>3384</v>
      </c>
      <c r="E318" s="153">
        <f>'Update Descrip'!D4127</f>
        <v>2855.73</v>
      </c>
      <c r="F318" s="154" t="s">
        <v>3170</v>
      </c>
      <c r="G318" s="281"/>
      <c r="I318" s="281"/>
    </row>
    <row r="319" spans="1:9" s="957" customFormat="1" ht="20.25">
      <c r="A319" s="959">
        <f t="shared" si="5"/>
        <v>267</v>
      </c>
      <c r="B319" s="1044" t="s">
        <v>4581</v>
      </c>
      <c r="C319" s="101">
        <v>96</v>
      </c>
      <c r="D319" s="152" t="s">
        <v>3384</v>
      </c>
      <c r="E319" s="153">
        <f>'Update Descrip'!D4138</f>
        <v>2143.79</v>
      </c>
      <c r="F319" s="154" t="s">
        <v>3170</v>
      </c>
      <c r="G319" s="281"/>
      <c r="I319" s="281"/>
    </row>
    <row r="320" spans="1:9" s="957" customFormat="1" ht="20.25">
      <c r="A320" s="959">
        <f t="shared" si="5"/>
        <v>268</v>
      </c>
      <c r="B320" s="1044" t="s">
        <v>4582</v>
      </c>
      <c r="C320" s="101">
        <v>96</v>
      </c>
      <c r="D320" s="152" t="s">
        <v>3384</v>
      </c>
      <c r="E320" s="153">
        <f>'Update Descrip'!D4155</f>
        <v>2347.06</v>
      </c>
      <c r="F320" s="154" t="s">
        <v>3170</v>
      </c>
      <c r="G320" s="281"/>
      <c r="I320" s="281"/>
    </row>
    <row r="321" spans="1:9" s="957" customFormat="1" ht="20.25">
      <c r="A321" s="959">
        <f t="shared" si="5"/>
        <v>269</v>
      </c>
      <c r="B321" s="1044" t="s">
        <v>4605</v>
      </c>
      <c r="C321" s="101">
        <v>96</v>
      </c>
      <c r="D321" s="152" t="s">
        <v>3384</v>
      </c>
      <c r="E321" s="153">
        <f>'Update Descrip'!D4172</f>
        <v>134.91</v>
      </c>
      <c r="F321" s="154" t="s">
        <v>3096</v>
      </c>
      <c r="G321" s="281"/>
      <c r="I321" s="281"/>
    </row>
    <row r="322" spans="1:9" s="957" customFormat="1" ht="20.25">
      <c r="A322" s="959">
        <f t="shared" si="5"/>
        <v>270</v>
      </c>
      <c r="B322" s="1044" t="s">
        <v>4604</v>
      </c>
      <c r="C322" s="101">
        <v>97</v>
      </c>
      <c r="D322" s="152" t="s">
        <v>3384</v>
      </c>
      <c r="E322" s="153">
        <f>'Update Descrip'!D4184</f>
        <v>9128.24</v>
      </c>
      <c r="F322" s="154" t="s">
        <v>2938</v>
      </c>
      <c r="G322" s="281"/>
      <c r="I322" s="281"/>
    </row>
    <row r="323" spans="1:9" s="957" customFormat="1" ht="20.25">
      <c r="A323" s="959">
        <f t="shared" si="5"/>
        <v>271</v>
      </c>
      <c r="B323" s="1044" t="s">
        <v>4187</v>
      </c>
      <c r="C323" s="101">
        <v>97</v>
      </c>
      <c r="D323" s="152" t="s">
        <v>3384</v>
      </c>
      <c r="E323" s="153">
        <f>'Update Descrip'!D4194</f>
        <v>3538.96</v>
      </c>
      <c r="F323" s="154" t="s">
        <v>3170</v>
      </c>
      <c r="G323" s="281"/>
      <c r="I323" s="281"/>
    </row>
    <row r="324" spans="1:9" s="957" customFormat="1" ht="20.25">
      <c r="A324" s="959">
        <f t="shared" si="5"/>
        <v>272</v>
      </c>
      <c r="B324" s="1044" t="s">
        <v>4237</v>
      </c>
      <c r="C324" s="101">
        <v>97</v>
      </c>
      <c r="D324" s="152" t="s">
        <v>3384</v>
      </c>
      <c r="E324" s="153">
        <f>'Update Descrip'!D4206</f>
        <v>5036.21</v>
      </c>
      <c r="F324" s="154" t="s">
        <v>3170</v>
      </c>
      <c r="G324" s="281"/>
      <c r="I324" s="281"/>
    </row>
    <row r="325" spans="1:9" s="957" customFormat="1" ht="20.25">
      <c r="A325" s="959">
        <f t="shared" si="5"/>
        <v>273</v>
      </c>
      <c r="B325" s="1044" t="s">
        <v>4583</v>
      </c>
      <c r="C325" s="101">
        <v>97</v>
      </c>
      <c r="D325" s="152" t="s">
        <v>3384</v>
      </c>
      <c r="E325" s="153">
        <f>'Update Descrip'!D4217</f>
        <v>6805.7</v>
      </c>
      <c r="F325" s="154" t="s">
        <v>3170</v>
      </c>
      <c r="G325" s="281"/>
      <c r="I325" s="281"/>
    </row>
    <row r="326" spans="1:9" s="957" customFormat="1" ht="20.25">
      <c r="A326" s="959">
        <f t="shared" si="5"/>
        <v>274</v>
      </c>
      <c r="B326" s="1044" t="s">
        <v>4238</v>
      </c>
      <c r="C326" s="101">
        <v>98</v>
      </c>
      <c r="D326" s="152" t="s">
        <v>3384</v>
      </c>
      <c r="E326" s="153">
        <f>'Update Descrip'!D4231</f>
        <v>48.57</v>
      </c>
      <c r="F326" s="154" t="s">
        <v>2938</v>
      </c>
      <c r="G326" s="281"/>
      <c r="I326" s="281"/>
    </row>
    <row r="327" spans="1:9" s="957" customFormat="1" ht="20.25">
      <c r="A327" s="959">
        <f t="shared" si="5"/>
        <v>275</v>
      </c>
      <c r="B327" s="1044" t="s">
        <v>4603</v>
      </c>
      <c r="C327" s="101">
        <v>98</v>
      </c>
      <c r="D327" s="152" t="s">
        <v>3384</v>
      </c>
      <c r="E327" s="153">
        <f>'Update Descrip'!D4246</f>
        <v>1295.17</v>
      </c>
      <c r="F327" s="154" t="s">
        <v>2938</v>
      </c>
      <c r="G327" s="281"/>
      <c r="I327" s="281"/>
    </row>
    <row r="328" spans="1:9" s="957" customFormat="1" ht="20.25">
      <c r="A328" s="959">
        <f t="shared" si="5"/>
        <v>276</v>
      </c>
      <c r="B328" s="1044" t="s">
        <v>4188</v>
      </c>
      <c r="C328" s="101">
        <v>98</v>
      </c>
      <c r="D328" s="152" t="s">
        <v>3384</v>
      </c>
      <c r="E328" s="153">
        <f>'Update Descrip'!D4262</f>
        <v>128.58000000000001</v>
      </c>
      <c r="F328" s="154" t="s">
        <v>3096</v>
      </c>
      <c r="G328" s="281"/>
      <c r="I328" s="281"/>
    </row>
    <row r="329" spans="1:9" s="1036" customFormat="1" ht="19.5">
      <c r="A329" s="959"/>
      <c r="B329" s="95"/>
      <c r="C329" s="101"/>
      <c r="D329" s="152"/>
      <c r="E329" s="153"/>
      <c r="F329" s="154"/>
      <c r="G329" s="281"/>
      <c r="I329" s="281"/>
    </row>
    <row r="330" spans="1:9" s="1036" customFormat="1" ht="18">
      <c r="A330" s="1203" t="s">
        <v>4564</v>
      </c>
      <c r="B330" s="1203"/>
      <c r="C330" s="1203"/>
      <c r="D330" s="1203"/>
      <c r="E330" s="1203"/>
      <c r="F330" s="1203"/>
      <c r="G330" s="281"/>
      <c r="I330" s="281"/>
    </row>
    <row r="331" spans="1:9" s="1036" customFormat="1" ht="19.5">
      <c r="A331" s="959"/>
      <c r="B331" s="95"/>
      <c r="C331" s="101"/>
      <c r="D331" s="152"/>
      <c r="E331" s="153"/>
      <c r="F331" s="154"/>
      <c r="G331" s="281"/>
      <c r="I331" s="281"/>
    </row>
    <row r="332" spans="1:9" s="957" customFormat="1" ht="20.25">
      <c r="A332" s="959">
        <f>A328+1</f>
        <v>277</v>
      </c>
      <c r="B332" s="1044" t="s">
        <v>4602</v>
      </c>
      <c r="C332" s="101">
        <v>99</v>
      </c>
      <c r="D332" s="152" t="s">
        <v>3384</v>
      </c>
      <c r="E332" s="153">
        <f>'Update Descrip'!D4281</f>
        <v>2468.79</v>
      </c>
      <c r="F332" s="154" t="s">
        <v>3170</v>
      </c>
      <c r="G332" s="281"/>
      <c r="I332" s="281"/>
    </row>
    <row r="333" spans="1:9" s="957" customFormat="1" ht="20.25">
      <c r="A333" s="959">
        <f t="shared" si="5"/>
        <v>278</v>
      </c>
      <c r="B333" s="1044" t="s">
        <v>4601</v>
      </c>
      <c r="C333" s="101">
        <v>99</v>
      </c>
      <c r="D333" s="152" t="s">
        <v>3384</v>
      </c>
      <c r="E333" s="153">
        <f>'Update Descrip'!D4299</f>
        <v>2623.8949500000003</v>
      </c>
      <c r="F333" s="154" t="s">
        <v>3170</v>
      </c>
      <c r="G333" s="281"/>
      <c r="I333" s="281"/>
    </row>
    <row r="334" spans="1:9" s="957" customFormat="1" ht="20.25">
      <c r="A334" s="959">
        <f t="shared" si="5"/>
        <v>279</v>
      </c>
      <c r="B334" s="1044" t="s">
        <v>4600</v>
      </c>
      <c r="C334" s="101">
        <v>99</v>
      </c>
      <c r="D334" s="152" t="s">
        <v>3384</v>
      </c>
      <c r="E334" s="153">
        <f>'Update Descrip'!B4310</f>
        <v>4073.76</v>
      </c>
      <c r="F334" s="154" t="s">
        <v>2938</v>
      </c>
      <c r="G334" s="281"/>
      <c r="I334" s="281"/>
    </row>
    <row r="335" spans="1:9" s="957" customFormat="1" ht="20.25">
      <c r="A335" s="959">
        <f t="shared" si="5"/>
        <v>280</v>
      </c>
      <c r="B335" s="1044" t="s">
        <v>4599</v>
      </c>
      <c r="C335" s="101">
        <v>100</v>
      </c>
      <c r="D335" s="152" t="s">
        <v>3384</v>
      </c>
      <c r="E335" s="153">
        <f>'Update Descrip'!D4323</f>
        <v>2297.9169398907106</v>
      </c>
      <c r="F335" s="154" t="s">
        <v>3170</v>
      </c>
      <c r="G335" s="281"/>
      <c r="I335" s="281"/>
    </row>
    <row r="336" spans="1:9" s="957" customFormat="1" ht="20.25">
      <c r="A336" s="959">
        <f t="shared" si="5"/>
        <v>281</v>
      </c>
      <c r="B336" s="1045" t="s">
        <v>4598</v>
      </c>
      <c r="C336" s="101">
        <v>100</v>
      </c>
      <c r="D336" s="152" t="s">
        <v>3384</v>
      </c>
      <c r="E336" s="153">
        <f>'Update Descrip'!D4337</f>
        <v>2605.034444444444</v>
      </c>
      <c r="F336" s="154" t="s">
        <v>3170</v>
      </c>
      <c r="G336" s="281"/>
      <c r="I336" s="281"/>
    </row>
    <row r="337" spans="1:9" s="957" customFormat="1" ht="20.25">
      <c r="A337" s="959">
        <f t="shared" si="5"/>
        <v>282</v>
      </c>
      <c r="B337" s="1045" t="s">
        <v>4597</v>
      </c>
      <c r="C337" s="101">
        <v>100</v>
      </c>
      <c r="D337" s="152" t="s">
        <v>3384</v>
      </c>
      <c r="E337" s="153">
        <f>'Update Descrip'!D4352</f>
        <v>5677.7288888888888</v>
      </c>
      <c r="F337" s="154" t="s">
        <v>3170</v>
      </c>
      <c r="G337" s="281"/>
      <c r="I337" s="281"/>
    </row>
    <row r="338" spans="1:9" s="957" customFormat="1" ht="20.25">
      <c r="A338" s="959">
        <f t="shared" si="5"/>
        <v>283</v>
      </c>
      <c r="B338" s="1044" t="s">
        <v>4584</v>
      </c>
      <c r="C338" s="101">
        <v>101</v>
      </c>
      <c r="D338" s="152" t="s">
        <v>3384</v>
      </c>
      <c r="E338" s="153">
        <f>'Update Descrip'!B4362</f>
        <v>1970.87</v>
      </c>
      <c r="F338" s="154" t="s">
        <v>2938</v>
      </c>
      <c r="G338" s="281"/>
      <c r="I338" s="281"/>
    </row>
    <row r="339" spans="1:9" s="957" customFormat="1" ht="20.25">
      <c r="A339" s="959">
        <f t="shared" si="5"/>
        <v>284</v>
      </c>
      <c r="B339" s="1044" t="s">
        <v>4596</v>
      </c>
      <c r="C339" s="101">
        <v>101</v>
      </c>
      <c r="D339" s="152" t="s">
        <v>3384</v>
      </c>
      <c r="E339" s="153">
        <f>'Update Descrip'!D4381</f>
        <v>1795.97</v>
      </c>
      <c r="F339" s="154" t="s">
        <v>3170</v>
      </c>
      <c r="G339" s="281"/>
      <c r="I339" s="281"/>
    </row>
    <row r="340" spans="1:9" s="1036" customFormat="1" ht="19.5">
      <c r="A340" s="959"/>
      <c r="B340" s="95"/>
      <c r="C340" s="101"/>
      <c r="D340" s="152"/>
      <c r="E340" s="153"/>
      <c r="F340" s="154"/>
      <c r="G340" s="281"/>
      <c r="I340" s="281"/>
    </row>
    <row r="341" spans="1:9" s="1036" customFormat="1" ht="18">
      <c r="A341" s="1203" t="s">
        <v>4565</v>
      </c>
      <c r="B341" s="1203"/>
      <c r="C341" s="1203"/>
      <c r="D341" s="1203"/>
      <c r="E341" s="1203"/>
      <c r="F341" s="1203"/>
      <c r="G341" s="281"/>
      <c r="I341" s="281"/>
    </row>
    <row r="342" spans="1:9" s="1036" customFormat="1" ht="19.5">
      <c r="A342" s="959"/>
      <c r="B342" s="95"/>
      <c r="C342" s="101"/>
      <c r="D342" s="152"/>
      <c r="E342" s="153"/>
      <c r="F342" s="154"/>
      <c r="G342" s="281"/>
      <c r="I342" s="281"/>
    </row>
    <row r="343" spans="1:9" s="957" customFormat="1" ht="20.25">
      <c r="A343" s="959">
        <f>A339+1</f>
        <v>285</v>
      </c>
      <c r="B343" s="1044" t="s">
        <v>4585</v>
      </c>
      <c r="C343" s="101">
        <v>102</v>
      </c>
      <c r="D343" s="152" t="s">
        <v>3384</v>
      </c>
      <c r="E343" s="153">
        <f>'Update Descrip'!D4397</f>
        <v>1474.15</v>
      </c>
      <c r="F343" s="154" t="s">
        <v>3170</v>
      </c>
      <c r="G343" s="281"/>
      <c r="I343" s="281"/>
    </row>
    <row r="344" spans="1:9" s="957" customFormat="1" ht="20.25">
      <c r="A344" s="959">
        <f t="shared" si="5"/>
        <v>286</v>
      </c>
      <c r="B344" s="1044" t="s">
        <v>4586</v>
      </c>
      <c r="C344" s="101">
        <v>102</v>
      </c>
      <c r="D344" s="152" t="s">
        <v>3384</v>
      </c>
      <c r="E344" s="153">
        <f>'Update Descrip'!D4412</f>
        <v>2198.92</v>
      </c>
      <c r="F344" s="154" t="s">
        <v>3170</v>
      </c>
      <c r="G344" s="281"/>
      <c r="I344" s="281"/>
    </row>
    <row r="345" spans="1:9" s="957" customFormat="1" ht="20.25">
      <c r="A345" s="959">
        <f t="shared" si="5"/>
        <v>287</v>
      </c>
      <c r="B345" s="1044" t="s">
        <v>4587</v>
      </c>
      <c r="C345" s="101">
        <v>102</v>
      </c>
      <c r="D345" s="152" t="s">
        <v>3384</v>
      </c>
      <c r="E345" s="153">
        <f>'Update Descrip'!D4426</f>
        <v>7448.92</v>
      </c>
      <c r="F345" s="154" t="s">
        <v>3170</v>
      </c>
      <c r="G345" s="281"/>
      <c r="I345" s="281"/>
    </row>
    <row r="346" spans="1:9" s="957" customFormat="1" ht="20.25">
      <c r="A346" s="959">
        <f t="shared" si="5"/>
        <v>288</v>
      </c>
      <c r="B346" s="1045" t="s">
        <v>4588</v>
      </c>
      <c r="C346" s="101">
        <v>103</v>
      </c>
      <c r="D346" s="152" t="s">
        <v>3384</v>
      </c>
      <c r="E346" s="153">
        <f>'Update Descrip'!D4441</f>
        <v>2756.5</v>
      </c>
      <c r="F346" s="154" t="s">
        <v>3170</v>
      </c>
      <c r="G346" s="281"/>
      <c r="I346" s="281"/>
    </row>
    <row r="347" spans="1:9" s="957" customFormat="1" ht="20.25">
      <c r="A347" s="959">
        <f t="shared" si="5"/>
        <v>289</v>
      </c>
      <c r="B347" s="1044" t="s">
        <v>4589</v>
      </c>
      <c r="C347" s="101">
        <v>103</v>
      </c>
      <c r="D347" s="152" t="s">
        <v>3384</v>
      </c>
      <c r="E347" s="153">
        <f>'Update Descrip'!D4465</f>
        <v>3063.5317594154017</v>
      </c>
      <c r="F347" s="154" t="s">
        <v>3170</v>
      </c>
      <c r="G347" s="281"/>
      <c r="I347" s="281"/>
    </row>
    <row r="348" spans="1:9" s="957" customFormat="1" ht="20.25">
      <c r="A348" s="959">
        <f t="shared" si="5"/>
        <v>290</v>
      </c>
      <c r="B348" s="1044" t="s">
        <v>4590</v>
      </c>
      <c r="C348" s="101">
        <v>104</v>
      </c>
      <c r="D348" s="152" t="s">
        <v>3384</v>
      </c>
      <c r="E348" s="153">
        <f>'Update Descrip'!D4483</f>
        <v>3421.9831365935916</v>
      </c>
      <c r="F348" s="154" t="s">
        <v>3170</v>
      </c>
      <c r="G348" s="281"/>
      <c r="I348" s="281"/>
    </row>
    <row r="349" spans="1:9" s="957" customFormat="1" ht="20.25">
      <c r="A349" s="959">
        <f t="shared" si="5"/>
        <v>291</v>
      </c>
      <c r="B349" s="1044" t="s">
        <v>4591</v>
      </c>
      <c r="C349" s="101">
        <v>104</v>
      </c>
      <c r="D349" s="152" t="s">
        <v>3384</v>
      </c>
      <c r="E349" s="153">
        <f>'Update Descrip'!B4495</f>
        <v>1175.53</v>
      </c>
      <c r="F349" s="154" t="s">
        <v>3170</v>
      </c>
      <c r="G349" s="281"/>
      <c r="I349" s="281"/>
    </row>
    <row r="350" spans="1:9" s="957" customFormat="1" ht="20.25">
      <c r="A350" s="959">
        <f t="shared" si="5"/>
        <v>292</v>
      </c>
      <c r="B350" s="1044" t="s">
        <v>4592</v>
      </c>
      <c r="C350" s="101">
        <v>104</v>
      </c>
      <c r="D350" s="152" t="s">
        <v>3384</v>
      </c>
      <c r="E350" s="153">
        <f>'Update Descrip'!B4508</f>
        <v>804.31</v>
      </c>
      <c r="F350" s="154" t="s">
        <v>3170</v>
      </c>
      <c r="G350" s="281"/>
      <c r="I350" s="281"/>
    </row>
    <row r="351" spans="1:9" s="957" customFormat="1" ht="20.25">
      <c r="A351" s="959">
        <f t="shared" si="5"/>
        <v>293</v>
      </c>
      <c r="B351" s="1045" t="s">
        <v>4593</v>
      </c>
      <c r="C351" s="101">
        <v>105</v>
      </c>
      <c r="D351" s="152" t="s">
        <v>3384</v>
      </c>
      <c r="E351" s="153">
        <f>'Update Descrip'!B4520</f>
        <v>1212.6500000000001</v>
      </c>
      <c r="F351" s="154" t="s">
        <v>3170</v>
      </c>
      <c r="G351" s="281"/>
      <c r="I351" s="281"/>
    </row>
    <row r="352" spans="1:9" s="957" customFormat="1" ht="20.25">
      <c r="A352" s="959">
        <f t="shared" si="5"/>
        <v>294</v>
      </c>
      <c r="B352" s="1045" t="s">
        <v>4594</v>
      </c>
      <c r="C352" s="101">
        <v>105</v>
      </c>
      <c r="D352" s="152" t="s">
        <v>3384</v>
      </c>
      <c r="E352" s="153">
        <f>'Update Descrip'!B4531</f>
        <v>1064.1600000000001</v>
      </c>
      <c r="F352" s="154" t="s">
        <v>3170</v>
      </c>
      <c r="G352" s="281"/>
      <c r="I352" s="281"/>
    </row>
    <row r="353" spans="1:9" s="957" customFormat="1" ht="20.25">
      <c r="A353" s="959">
        <f t="shared" si="5"/>
        <v>295</v>
      </c>
      <c r="B353" s="1044" t="s">
        <v>4595</v>
      </c>
      <c r="C353" s="101">
        <v>105</v>
      </c>
      <c r="D353" s="152" t="s">
        <v>3384</v>
      </c>
      <c r="E353" s="153">
        <f>'Update Descrip'!B4542</f>
        <v>395.96</v>
      </c>
      <c r="F353" s="154" t="s">
        <v>3170</v>
      </c>
      <c r="G353" s="281"/>
      <c r="I353" s="281"/>
    </row>
    <row r="354" spans="1:9" s="1036" customFormat="1" ht="19.5">
      <c r="A354" s="959"/>
      <c r="B354" s="95"/>
      <c r="C354" s="101"/>
      <c r="D354" s="152"/>
      <c r="E354" s="153"/>
      <c r="F354" s="154"/>
      <c r="G354" s="281"/>
      <c r="I354" s="281"/>
    </row>
    <row r="355" spans="1:9" s="1036" customFormat="1" ht="18">
      <c r="A355" s="1203" t="s">
        <v>4567</v>
      </c>
      <c r="B355" s="1203"/>
      <c r="C355" s="1203"/>
      <c r="D355" s="1203"/>
      <c r="E355" s="1203"/>
      <c r="F355" s="1203"/>
      <c r="G355" s="281"/>
      <c r="I355" s="281"/>
    </row>
    <row r="356" spans="1:9" s="1036" customFormat="1" ht="19.5">
      <c r="A356" s="959"/>
      <c r="B356" s="95"/>
      <c r="C356" s="101"/>
      <c r="D356" s="152"/>
      <c r="E356" s="153"/>
      <c r="F356" s="154"/>
      <c r="G356" s="281"/>
      <c r="I356" s="281"/>
    </row>
    <row r="357" spans="1:9" s="957" customFormat="1" ht="17.25">
      <c r="A357" s="959">
        <f>A353+1</f>
        <v>296</v>
      </c>
      <c r="B357" s="100" t="s">
        <v>4665</v>
      </c>
      <c r="C357" s="101">
        <v>105</v>
      </c>
      <c r="D357" s="152" t="s">
        <v>3384</v>
      </c>
      <c r="E357" s="153">
        <f>'Update Descrip'!B4553</f>
        <v>5444.56</v>
      </c>
      <c r="F357" s="154" t="s">
        <v>3170</v>
      </c>
      <c r="G357" s="281"/>
      <c r="I357" s="281"/>
    </row>
    <row r="358" spans="1:9" s="957" customFormat="1" ht="17.25">
      <c r="A358" s="959">
        <f t="shared" si="5"/>
        <v>297</v>
      </c>
      <c r="B358" s="100" t="s">
        <v>4520</v>
      </c>
      <c r="C358" s="101">
        <v>106</v>
      </c>
      <c r="D358" s="152" t="s">
        <v>3384</v>
      </c>
      <c r="E358" s="153">
        <f>'Update Descrip'!B4563</f>
        <v>5852.9000000000005</v>
      </c>
      <c r="F358" s="154" t="s">
        <v>3170</v>
      </c>
      <c r="G358" s="281"/>
      <c r="I358" s="281"/>
    </row>
    <row r="359" spans="1:9" s="957" customFormat="1" ht="17.25">
      <c r="A359" s="959">
        <f t="shared" si="5"/>
        <v>298</v>
      </c>
      <c r="B359" s="100" t="s">
        <v>4664</v>
      </c>
      <c r="C359" s="101">
        <v>106</v>
      </c>
      <c r="D359" s="152" t="s">
        <v>3384</v>
      </c>
      <c r="E359" s="153">
        <f>'Update Descrip'!B4575</f>
        <v>5716.78</v>
      </c>
      <c r="F359" s="154" t="s">
        <v>3170</v>
      </c>
      <c r="G359" s="281"/>
      <c r="I359" s="281"/>
    </row>
    <row r="360" spans="1:9" s="957" customFormat="1" ht="17.25">
      <c r="A360" s="959">
        <f t="shared" si="5"/>
        <v>299</v>
      </c>
      <c r="B360" s="100" t="s">
        <v>4663</v>
      </c>
      <c r="C360" s="101">
        <v>106</v>
      </c>
      <c r="D360" s="152" t="s">
        <v>3384</v>
      </c>
      <c r="E360" s="153">
        <f>'Update Descrip'!B4589</f>
        <v>6125.13</v>
      </c>
      <c r="F360" s="154" t="s">
        <v>3170</v>
      </c>
      <c r="G360" s="281"/>
      <c r="I360" s="281"/>
    </row>
    <row r="361" spans="1:9" s="957" customFormat="1" ht="17.25">
      <c r="A361" s="959">
        <f t="shared" si="5"/>
        <v>300</v>
      </c>
      <c r="B361" s="100" t="s">
        <v>4662</v>
      </c>
      <c r="C361" s="101">
        <v>106</v>
      </c>
      <c r="D361" s="152" t="s">
        <v>3384</v>
      </c>
      <c r="E361" s="153">
        <f>'Update Descrip'!B4602</f>
        <v>6397.35</v>
      </c>
      <c r="F361" s="154" t="s">
        <v>3170</v>
      </c>
      <c r="G361" s="281"/>
      <c r="I361" s="281"/>
    </row>
    <row r="362" spans="1:9" s="957" customFormat="1" ht="17.25">
      <c r="A362" s="959">
        <f t="shared" si="5"/>
        <v>301</v>
      </c>
      <c r="B362" s="100" t="s">
        <v>4661</v>
      </c>
      <c r="C362" s="101">
        <v>107</v>
      </c>
      <c r="D362" s="152" t="s">
        <v>3384</v>
      </c>
      <c r="E362" s="153">
        <f>'Update Descrip'!B4614</f>
        <v>5444.56</v>
      </c>
      <c r="F362" s="154" t="s">
        <v>3170</v>
      </c>
      <c r="G362" s="281"/>
      <c r="I362" s="281"/>
    </row>
    <row r="363" spans="1:9" s="957" customFormat="1" ht="17.25">
      <c r="A363" s="959">
        <f t="shared" si="5"/>
        <v>302</v>
      </c>
      <c r="B363" s="100" t="s">
        <v>4660</v>
      </c>
      <c r="C363" s="101">
        <v>107</v>
      </c>
      <c r="D363" s="152" t="s">
        <v>3384</v>
      </c>
      <c r="E363" s="153">
        <f>'Update Descrip'!B4625</f>
        <v>6669.58</v>
      </c>
      <c r="F363" s="154" t="s">
        <v>3170</v>
      </c>
      <c r="G363" s="281"/>
      <c r="I363" s="281"/>
    </row>
    <row r="364" spans="1:9" s="1034" customFormat="1" ht="17.25">
      <c r="A364" s="959">
        <f t="shared" si="5"/>
        <v>303</v>
      </c>
      <c r="B364" s="100" t="s">
        <v>4521</v>
      </c>
      <c r="C364" s="101">
        <v>107</v>
      </c>
      <c r="D364" s="152" t="s">
        <v>3384</v>
      </c>
      <c r="E364" s="153">
        <f>'Update Descrip'!B4636</f>
        <v>6669.58</v>
      </c>
      <c r="F364" s="154" t="s">
        <v>3170</v>
      </c>
      <c r="G364" s="281"/>
      <c r="I364" s="281"/>
    </row>
    <row r="365" spans="1:9" s="1034" customFormat="1" ht="17.25">
      <c r="A365" s="959">
        <f t="shared" si="5"/>
        <v>304</v>
      </c>
      <c r="B365" s="100" t="s">
        <v>4522</v>
      </c>
      <c r="C365" s="101">
        <v>107</v>
      </c>
      <c r="D365" s="152" t="s">
        <v>3384</v>
      </c>
      <c r="E365" s="153">
        <f>'Update Descrip'!B4648</f>
        <v>5172.33</v>
      </c>
      <c r="F365" s="154" t="s">
        <v>3170</v>
      </c>
      <c r="G365" s="281"/>
      <c r="I365" s="281"/>
    </row>
    <row r="366" spans="1:9" s="1034" customFormat="1" ht="17.25">
      <c r="A366" s="959">
        <f t="shared" si="5"/>
        <v>305</v>
      </c>
      <c r="B366" s="100" t="s">
        <v>4659</v>
      </c>
      <c r="C366" s="101">
        <v>108</v>
      </c>
      <c r="D366" s="152" t="s">
        <v>3384</v>
      </c>
      <c r="E366" s="153">
        <f>'Update Descrip'!B4659</f>
        <v>5172.33</v>
      </c>
      <c r="F366" s="154" t="s">
        <v>3170</v>
      </c>
      <c r="G366" s="281"/>
      <c r="I366" s="281"/>
    </row>
    <row r="367" spans="1:9" s="1034" customFormat="1" ht="17.25">
      <c r="A367" s="959">
        <f t="shared" si="5"/>
        <v>306</v>
      </c>
      <c r="B367" s="100" t="s">
        <v>4658</v>
      </c>
      <c r="C367" s="101">
        <v>108</v>
      </c>
      <c r="D367" s="152" t="s">
        <v>3384</v>
      </c>
      <c r="E367" s="153">
        <f>'Update Descrip'!B4671</f>
        <v>5172.33</v>
      </c>
      <c r="F367" s="154" t="s">
        <v>3170</v>
      </c>
      <c r="G367" s="281"/>
      <c r="I367" s="281"/>
    </row>
    <row r="368" spans="1:9" s="1034" customFormat="1" ht="17.25">
      <c r="A368" s="959">
        <f t="shared" si="5"/>
        <v>307</v>
      </c>
      <c r="B368" s="100" t="s">
        <v>4657</v>
      </c>
      <c r="C368" s="101">
        <v>108</v>
      </c>
      <c r="D368" s="152" t="s">
        <v>3384</v>
      </c>
      <c r="E368" s="153">
        <f>'Update Descrip'!B4683</f>
        <v>4900.1000000000004</v>
      </c>
      <c r="F368" s="154" t="s">
        <v>3170</v>
      </c>
      <c r="G368" s="281"/>
      <c r="I368" s="281"/>
    </row>
    <row r="369" spans="1:9" s="1036" customFormat="1" ht="17.25">
      <c r="A369" s="959"/>
      <c r="B369" s="100"/>
      <c r="C369" s="101"/>
      <c r="D369" s="152"/>
      <c r="E369" s="153"/>
      <c r="F369" s="154"/>
      <c r="G369" s="281"/>
      <c r="I369" s="281"/>
    </row>
    <row r="370" spans="1:9" s="1036" customFormat="1" ht="18">
      <c r="A370" s="1203" t="s">
        <v>4568</v>
      </c>
      <c r="B370" s="1203"/>
      <c r="C370" s="1203"/>
      <c r="D370" s="1203"/>
      <c r="E370" s="1203"/>
      <c r="F370" s="1203"/>
      <c r="G370" s="281"/>
      <c r="I370" s="281"/>
    </row>
    <row r="371" spans="1:9" s="1036" customFormat="1" ht="17.25">
      <c r="A371" s="959"/>
      <c r="B371" s="100"/>
      <c r="C371" s="101"/>
      <c r="D371" s="152"/>
      <c r="E371" s="153"/>
      <c r="F371" s="154"/>
      <c r="G371" s="281"/>
      <c r="I371" s="281"/>
    </row>
    <row r="372" spans="1:9" s="957" customFormat="1" ht="17.25">
      <c r="A372" s="959">
        <f>A368+1</f>
        <v>308</v>
      </c>
      <c r="B372" s="100" t="s">
        <v>4523</v>
      </c>
      <c r="C372" s="101">
        <v>108</v>
      </c>
      <c r="D372" s="152" t="s">
        <v>3384</v>
      </c>
      <c r="E372" s="153">
        <f>'Update Descrip'!B4693</f>
        <v>8366.25</v>
      </c>
      <c r="F372" s="154" t="s">
        <v>3170</v>
      </c>
      <c r="G372" s="281"/>
      <c r="I372" s="281"/>
    </row>
    <row r="373" spans="1:9" s="957" customFormat="1" ht="17.25">
      <c r="A373" s="959">
        <f t="shared" si="5"/>
        <v>309</v>
      </c>
      <c r="B373" s="100" t="s">
        <v>4189</v>
      </c>
      <c r="C373" s="101">
        <v>109</v>
      </c>
      <c r="D373" s="152" t="s">
        <v>3384</v>
      </c>
      <c r="E373" s="153">
        <f>'Update Descrip'!B4703</f>
        <v>9171.25</v>
      </c>
      <c r="F373" s="154" t="s">
        <v>3170</v>
      </c>
      <c r="G373" s="281"/>
      <c r="I373" s="281"/>
    </row>
    <row r="374" spans="1:9" s="957" customFormat="1" ht="17.25">
      <c r="A374" s="959">
        <f t="shared" si="5"/>
        <v>310</v>
      </c>
      <c r="B374" s="100" t="s">
        <v>4190</v>
      </c>
      <c r="C374" s="101">
        <v>109</v>
      </c>
      <c r="D374" s="152" t="s">
        <v>3384</v>
      </c>
      <c r="E374" s="153">
        <f>'Update Descrip'!B4714</f>
        <v>9297.75</v>
      </c>
      <c r="F374" s="154" t="s">
        <v>3170</v>
      </c>
      <c r="G374" s="281"/>
      <c r="I374" s="281"/>
    </row>
    <row r="375" spans="1:9" s="957" customFormat="1" ht="17.25">
      <c r="A375" s="959">
        <f t="shared" si="5"/>
        <v>311</v>
      </c>
      <c r="B375" s="100" t="s">
        <v>4656</v>
      </c>
      <c r="C375" s="101">
        <v>109</v>
      </c>
      <c r="D375" s="152" t="s">
        <v>3384</v>
      </c>
      <c r="E375" s="153">
        <f>'Update Descrip'!B4725</f>
        <v>11558.65</v>
      </c>
      <c r="F375" s="154" t="s">
        <v>3170</v>
      </c>
      <c r="G375" s="281"/>
      <c r="I375" s="281"/>
    </row>
    <row r="376" spans="1:9" s="957" customFormat="1" ht="17.25">
      <c r="A376" s="959">
        <f t="shared" si="5"/>
        <v>312</v>
      </c>
      <c r="B376" s="100" t="s">
        <v>4191</v>
      </c>
      <c r="C376" s="101">
        <v>108</v>
      </c>
      <c r="D376" s="152" t="s">
        <v>3384</v>
      </c>
      <c r="E376" s="153">
        <f>'Update Descrip'!B4739</f>
        <v>7510.65</v>
      </c>
      <c r="F376" s="154" t="s">
        <v>3170</v>
      </c>
      <c r="G376" s="281"/>
      <c r="I376" s="281"/>
    </row>
    <row r="377" spans="1:9" s="957" customFormat="1" ht="17.25">
      <c r="A377" s="959">
        <f t="shared" si="5"/>
        <v>313</v>
      </c>
      <c r="B377" s="100" t="s">
        <v>4192</v>
      </c>
      <c r="C377" s="101">
        <v>109</v>
      </c>
      <c r="D377" s="152" t="s">
        <v>3384</v>
      </c>
      <c r="E377" s="153">
        <f>'Update Descrip'!B4750</f>
        <v>8055.75</v>
      </c>
      <c r="F377" s="154" t="s">
        <v>3170</v>
      </c>
      <c r="G377" s="281"/>
      <c r="I377" s="281"/>
    </row>
    <row r="378" spans="1:9" s="957" customFormat="1" ht="17.25">
      <c r="A378" s="959">
        <f t="shared" si="5"/>
        <v>314</v>
      </c>
      <c r="B378" s="100" t="s">
        <v>4193</v>
      </c>
      <c r="C378" s="101">
        <v>109</v>
      </c>
      <c r="D378" s="152" t="s">
        <v>3384</v>
      </c>
      <c r="E378" s="153">
        <f>'Update Descrip'!B4762</f>
        <v>7440.5</v>
      </c>
      <c r="F378" s="154" t="s">
        <v>3170</v>
      </c>
      <c r="G378" s="281"/>
      <c r="I378" s="281"/>
    </row>
    <row r="379" spans="1:9" s="957" customFormat="1" ht="17.25">
      <c r="A379" s="959">
        <f t="shared" si="5"/>
        <v>315</v>
      </c>
      <c r="B379" s="100" t="s">
        <v>4194</v>
      </c>
      <c r="C379" s="101">
        <v>109</v>
      </c>
      <c r="D379" s="152" t="s">
        <v>3384</v>
      </c>
      <c r="E379" s="153">
        <f>'Update Descrip'!B4773</f>
        <v>9918.75</v>
      </c>
      <c r="F379" s="154" t="s">
        <v>3170</v>
      </c>
      <c r="G379" s="281"/>
      <c r="I379" s="281"/>
    </row>
    <row r="380" spans="1:9" s="957" customFormat="1" ht="17.25">
      <c r="A380" s="959">
        <f t="shared" si="5"/>
        <v>316</v>
      </c>
      <c r="B380" s="100" t="s">
        <v>4195</v>
      </c>
      <c r="C380" s="101">
        <v>110</v>
      </c>
      <c r="D380" s="152" t="s">
        <v>3384</v>
      </c>
      <c r="E380" s="153">
        <f>'Update Descrip'!B4785</f>
        <v>9608.25</v>
      </c>
      <c r="F380" s="154" t="s">
        <v>3170</v>
      </c>
      <c r="G380" s="281"/>
      <c r="I380" s="281"/>
    </row>
    <row r="381" spans="1:9" s="1034" customFormat="1" ht="17.25">
      <c r="A381" s="959">
        <f t="shared" si="5"/>
        <v>317</v>
      </c>
      <c r="B381" s="100" t="s">
        <v>4196</v>
      </c>
      <c r="C381" s="101">
        <v>111</v>
      </c>
      <c r="D381" s="152" t="s">
        <v>3384</v>
      </c>
      <c r="E381" s="153">
        <f>'Update Descrip'!B4795</f>
        <v>9297.75</v>
      </c>
      <c r="F381" s="154" t="s">
        <v>3170</v>
      </c>
      <c r="G381" s="281"/>
      <c r="I381" s="281"/>
    </row>
    <row r="382" spans="1:9" s="1036" customFormat="1" ht="17.25">
      <c r="A382" s="959"/>
      <c r="B382" s="100"/>
      <c r="C382" s="101"/>
      <c r="D382" s="152"/>
      <c r="E382" s="153"/>
      <c r="F382" s="154"/>
      <c r="G382" s="281"/>
      <c r="I382" s="281"/>
    </row>
    <row r="383" spans="1:9" s="1036" customFormat="1" ht="18">
      <c r="A383" s="1203" t="s">
        <v>4569</v>
      </c>
      <c r="B383" s="1203"/>
      <c r="C383" s="1203"/>
      <c r="D383" s="1203"/>
      <c r="E383" s="1203"/>
      <c r="F383" s="1203"/>
      <c r="I383" s="281"/>
    </row>
    <row r="384" spans="1:9" s="1036" customFormat="1" ht="17.25">
      <c r="A384" s="959"/>
      <c r="B384" s="100"/>
      <c r="C384" s="101"/>
      <c r="D384" s="152"/>
      <c r="E384" s="153"/>
      <c r="F384" s="154"/>
      <c r="G384" s="281"/>
      <c r="I384" s="281"/>
    </row>
    <row r="385" spans="1:9" s="957" customFormat="1" ht="17.25">
      <c r="A385" s="959">
        <f>A381+1</f>
        <v>318</v>
      </c>
      <c r="B385" s="100" t="s">
        <v>4524</v>
      </c>
      <c r="C385" s="101">
        <v>111</v>
      </c>
      <c r="D385" s="152" t="s">
        <v>3384</v>
      </c>
      <c r="E385" s="153">
        <f>'Update Descrip'!B4805</f>
        <v>13455</v>
      </c>
      <c r="F385" s="154" t="s">
        <v>3170</v>
      </c>
      <c r="G385" s="281"/>
      <c r="I385" s="281"/>
    </row>
    <row r="386" spans="1:9" s="957" customFormat="1" ht="20.25">
      <c r="A386" s="959">
        <f t="shared" ref="A386" si="6">A385+1</f>
        <v>319</v>
      </c>
      <c r="B386" s="1044" t="s">
        <v>4239</v>
      </c>
      <c r="C386" s="101">
        <v>111</v>
      </c>
      <c r="D386" s="152" t="s">
        <v>3384</v>
      </c>
      <c r="E386" s="153">
        <f>'Update Descrip'!F4821</f>
        <v>410.32</v>
      </c>
      <c r="F386" s="154" t="s">
        <v>855</v>
      </c>
      <c r="G386" s="281"/>
      <c r="I386" s="281"/>
    </row>
    <row r="387" spans="1:9" s="957" customFormat="1" ht="20.25">
      <c r="A387" s="959">
        <v>320</v>
      </c>
      <c r="B387" s="1044" t="s">
        <v>4109</v>
      </c>
      <c r="C387" s="101">
        <v>5</v>
      </c>
      <c r="D387" s="152" t="s">
        <v>3384</v>
      </c>
      <c r="E387" s="153">
        <f>'Update Descrip'!B4832</f>
        <v>217.06</v>
      </c>
      <c r="F387" s="154" t="s">
        <v>855</v>
      </c>
      <c r="G387" s="281"/>
      <c r="I387" s="281"/>
    </row>
    <row r="388" spans="1:9" s="957" customFormat="1" ht="19.5">
      <c r="A388" s="959"/>
      <c r="B388" s="263"/>
      <c r="C388" s="101"/>
      <c r="D388" s="152"/>
      <c r="E388" s="153"/>
      <c r="F388" s="154"/>
      <c r="G388" s="281"/>
      <c r="I388" s="281"/>
    </row>
    <row r="389" spans="1:9" s="957" customFormat="1" ht="19.5">
      <c r="A389" s="959"/>
      <c r="B389" s="263"/>
      <c r="C389" s="101"/>
      <c r="D389" s="152"/>
      <c r="E389" s="153"/>
      <c r="F389" s="154"/>
      <c r="G389" s="281"/>
      <c r="I389" s="281"/>
    </row>
    <row r="390" spans="1:9" ht="17.25">
      <c r="A390" s="959"/>
      <c r="B390" s="100"/>
      <c r="C390" s="101"/>
      <c r="D390" s="152"/>
      <c r="E390" s="153"/>
      <c r="F390" s="154"/>
      <c r="G390" s="281"/>
      <c r="I390" s="281"/>
    </row>
    <row r="391" spans="1:9" ht="15">
      <c r="A391" s="948"/>
      <c r="G391" s="281"/>
      <c r="I391" s="281"/>
    </row>
    <row r="392" spans="1:9" ht="18">
      <c r="A392" s="1200" t="s">
        <v>856</v>
      </c>
      <c r="B392" s="1200"/>
      <c r="C392" s="1200"/>
      <c r="D392" s="1200"/>
      <c r="E392" s="1200"/>
      <c r="F392" s="1200"/>
      <c r="G392" s="281"/>
      <c r="I392" s="281"/>
    </row>
    <row r="393" spans="1:9" ht="18">
      <c r="A393" s="970"/>
      <c r="B393" s="971"/>
      <c r="C393" s="972"/>
      <c r="D393" s="973"/>
      <c r="E393" s="974"/>
      <c r="F393" s="973"/>
      <c r="G393" s="281"/>
      <c r="I393" s="281"/>
    </row>
    <row r="394" spans="1:9" ht="19.5">
      <c r="A394" s="970" t="s">
        <v>1275</v>
      </c>
      <c r="B394" s="975" t="s">
        <v>1071</v>
      </c>
      <c r="C394" s="976">
        <v>66</v>
      </c>
      <c r="D394" s="977" t="s">
        <v>3384</v>
      </c>
      <c r="E394" s="978">
        <f>'Update Descrip'!D2868</f>
        <v>170.94</v>
      </c>
      <c r="F394" s="979" t="s">
        <v>3170</v>
      </c>
      <c r="G394" s="281"/>
      <c r="I394" s="281"/>
    </row>
    <row r="395" spans="1:9" ht="19.5">
      <c r="A395" s="970" t="s">
        <v>1276</v>
      </c>
      <c r="B395" s="975" t="s">
        <v>3328</v>
      </c>
      <c r="C395" s="976">
        <v>67</v>
      </c>
      <c r="D395" s="977" t="s">
        <v>3384</v>
      </c>
      <c r="E395" s="978" t="e">
        <f>'Update Descrip'!#REF!</f>
        <v>#REF!</v>
      </c>
      <c r="F395" s="979" t="s">
        <v>3170</v>
      </c>
      <c r="G395" s="281"/>
      <c r="I395" s="281"/>
    </row>
    <row r="396" spans="1:9" ht="19.5">
      <c r="A396" s="970" t="s">
        <v>1277</v>
      </c>
      <c r="B396" s="975" t="s">
        <v>3371</v>
      </c>
      <c r="C396" s="976">
        <v>67</v>
      </c>
      <c r="D396" s="977" t="s">
        <v>3384</v>
      </c>
      <c r="E396" s="978">
        <f>'Update Descrip'!D2884</f>
        <v>154.97</v>
      </c>
      <c r="F396" s="979" t="s">
        <v>3170</v>
      </c>
      <c r="G396" s="281"/>
      <c r="I396" s="281"/>
    </row>
    <row r="397" spans="1:9" ht="19.5">
      <c r="A397" s="970" t="s">
        <v>1278</v>
      </c>
      <c r="B397" s="975" t="s">
        <v>3372</v>
      </c>
      <c r="C397" s="976">
        <v>67</v>
      </c>
      <c r="D397" s="977" t="s">
        <v>3384</v>
      </c>
      <c r="E397" s="978" t="e">
        <f>'Update Descrip'!#REF!</f>
        <v>#REF!</v>
      </c>
      <c r="F397" s="979" t="s">
        <v>3170</v>
      </c>
      <c r="G397" s="281"/>
      <c r="I397" s="281"/>
    </row>
    <row r="398" spans="1:9" ht="19.5">
      <c r="A398" s="970" t="s">
        <v>1279</v>
      </c>
      <c r="B398" s="975" t="s">
        <v>3487</v>
      </c>
      <c r="C398" s="976">
        <v>68</v>
      </c>
      <c r="D398" s="977" t="s">
        <v>3384</v>
      </c>
      <c r="E398" s="978" t="e">
        <f>'Update Descrip'!#REF!</f>
        <v>#REF!</v>
      </c>
      <c r="F398" s="979" t="s">
        <v>3170</v>
      </c>
      <c r="G398" s="281"/>
      <c r="I398" s="281"/>
    </row>
    <row r="399" spans="1:9" ht="19.5">
      <c r="A399" s="970" t="s">
        <v>1281</v>
      </c>
      <c r="B399" s="975" t="s">
        <v>3373</v>
      </c>
      <c r="C399" s="976">
        <v>68</v>
      </c>
      <c r="D399" s="977" t="s">
        <v>3384</v>
      </c>
      <c r="E399" s="978" t="e">
        <f>'Update Descrip'!#REF!</f>
        <v>#REF!</v>
      </c>
      <c r="F399" s="979" t="s">
        <v>3170</v>
      </c>
      <c r="G399" s="281"/>
      <c r="I399" s="281"/>
    </row>
    <row r="400" spans="1:9" ht="19.5">
      <c r="A400" s="970" t="s">
        <v>1282</v>
      </c>
      <c r="B400" s="975" t="s">
        <v>3570</v>
      </c>
      <c r="C400" s="976">
        <v>68</v>
      </c>
      <c r="D400" s="977" t="s">
        <v>3384</v>
      </c>
      <c r="E400" s="978">
        <f>'Update Descrip'!D2897</f>
        <v>228.89</v>
      </c>
      <c r="F400" s="979" t="s">
        <v>3170</v>
      </c>
      <c r="G400" s="281"/>
      <c r="I400" s="281"/>
    </row>
    <row r="401" spans="1:9" ht="18.75" customHeight="1">
      <c r="A401" s="970" t="s">
        <v>1283</v>
      </c>
      <c r="B401" s="975" t="s">
        <v>1519</v>
      </c>
      <c r="C401" s="976">
        <v>69</v>
      </c>
      <c r="D401" s="977" t="s">
        <v>3384</v>
      </c>
      <c r="E401" s="978">
        <f>'Update Descrip'!D2912</f>
        <v>198.25</v>
      </c>
      <c r="F401" s="979" t="s">
        <v>3170</v>
      </c>
      <c r="G401" s="281"/>
      <c r="I401" s="281"/>
    </row>
    <row r="402" spans="1:9" ht="19.5">
      <c r="A402" s="970" t="s">
        <v>1284</v>
      </c>
      <c r="B402" s="975" t="s">
        <v>1540</v>
      </c>
      <c r="C402" s="976">
        <v>69</v>
      </c>
      <c r="D402" s="977" t="s">
        <v>3384</v>
      </c>
      <c r="E402" s="978" t="e">
        <f>'Update Descrip'!#REF!</f>
        <v>#REF!</v>
      </c>
      <c r="F402" s="979" t="s">
        <v>3170</v>
      </c>
      <c r="G402" s="281"/>
      <c r="I402" s="281"/>
    </row>
    <row r="403" spans="1:9" ht="19.5">
      <c r="A403" s="970" t="s">
        <v>1285</v>
      </c>
      <c r="B403" s="975" t="s">
        <v>290</v>
      </c>
      <c r="C403" s="976">
        <v>69</v>
      </c>
      <c r="D403" s="977" t="s">
        <v>3384</v>
      </c>
      <c r="E403" s="978">
        <f>'Update Descrip'!D2928</f>
        <v>113.2</v>
      </c>
      <c r="F403" s="979" t="s">
        <v>3170</v>
      </c>
      <c r="G403" s="281"/>
      <c r="I403" s="281"/>
    </row>
    <row r="404" spans="1:9" ht="19.5">
      <c r="A404" s="970" t="s">
        <v>291</v>
      </c>
      <c r="B404" s="975" t="s">
        <v>5</v>
      </c>
      <c r="C404" s="976">
        <v>70</v>
      </c>
      <c r="D404" s="977" t="s">
        <v>3384</v>
      </c>
      <c r="E404" s="978">
        <f>'Update Descrip'!D2940</f>
        <v>59.18</v>
      </c>
      <c r="F404" s="979" t="s">
        <v>3170</v>
      </c>
      <c r="G404" s="281"/>
      <c r="I404" s="281"/>
    </row>
    <row r="405" spans="1:9" ht="19.5">
      <c r="A405" s="970" t="s">
        <v>1286</v>
      </c>
      <c r="B405" s="975" t="s">
        <v>6</v>
      </c>
      <c r="C405" s="976">
        <v>70</v>
      </c>
      <c r="D405" s="977" t="s">
        <v>3384</v>
      </c>
      <c r="E405" s="978">
        <f>'Update Descrip'!D2955</f>
        <v>129.9</v>
      </c>
      <c r="F405" s="979" t="s">
        <v>3170</v>
      </c>
      <c r="G405" s="281"/>
      <c r="I405" s="281"/>
    </row>
    <row r="406" spans="1:9" ht="19.5">
      <c r="A406" s="970" t="s">
        <v>1287</v>
      </c>
      <c r="B406" s="975" t="s">
        <v>3628</v>
      </c>
      <c r="C406" s="976">
        <v>70</v>
      </c>
      <c r="D406" s="977" t="s">
        <v>3384</v>
      </c>
      <c r="E406" s="978" t="e">
        <f>'Update Descrip'!#REF!</f>
        <v>#REF!</v>
      </c>
      <c r="F406" s="979" t="s">
        <v>3170</v>
      </c>
      <c r="G406" s="281"/>
      <c r="I406" s="281"/>
    </row>
    <row r="407" spans="1:9" ht="19.5">
      <c r="A407" s="970" t="s">
        <v>1289</v>
      </c>
      <c r="B407" s="975" t="s">
        <v>1209</v>
      </c>
      <c r="C407" s="976">
        <v>71</v>
      </c>
      <c r="D407" s="977" t="s">
        <v>3384</v>
      </c>
      <c r="E407" s="978" t="e">
        <f>'Update Descrip'!#REF!</f>
        <v>#REF!</v>
      </c>
      <c r="F407" s="979" t="s">
        <v>3170</v>
      </c>
      <c r="G407" s="281"/>
      <c r="I407" s="281"/>
    </row>
    <row r="408" spans="1:9" ht="19.5">
      <c r="A408" s="970" t="s">
        <v>1290</v>
      </c>
      <c r="B408" s="975" t="s">
        <v>1210</v>
      </c>
      <c r="C408" s="976">
        <v>71</v>
      </c>
      <c r="D408" s="977" t="s">
        <v>3384</v>
      </c>
      <c r="E408" s="978">
        <f>'Update Descrip'!D2971</f>
        <v>188.08</v>
      </c>
      <c r="F408" s="979" t="s">
        <v>3170</v>
      </c>
      <c r="G408" s="281"/>
      <c r="I408" s="281"/>
    </row>
    <row r="409" spans="1:9" ht="18">
      <c r="A409" s="980"/>
      <c r="B409" s="971"/>
      <c r="C409" s="972"/>
      <c r="D409" s="973"/>
      <c r="E409" s="974"/>
      <c r="F409" s="973"/>
      <c r="G409" s="281"/>
      <c r="I409" s="281"/>
    </row>
    <row r="410" spans="1:9" ht="18">
      <c r="A410" s="1200" t="s">
        <v>1280</v>
      </c>
      <c r="B410" s="1200"/>
      <c r="C410" s="1200"/>
      <c r="D410" s="1200"/>
      <c r="E410" s="1200"/>
      <c r="F410" s="1200"/>
      <c r="G410" s="281"/>
      <c r="I410" s="281"/>
    </row>
    <row r="411" spans="1:9" ht="18">
      <c r="A411" s="970"/>
      <c r="B411" s="970"/>
      <c r="C411" s="970"/>
      <c r="D411" s="981"/>
      <c r="E411" s="974"/>
      <c r="F411" s="973"/>
      <c r="G411" s="281"/>
      <c r="I411" s="281"/>
    </row>
    <row r="412" spans="1:9" ht="18.75" customHeight="1">
      <c r="A412" s="970" t="s">
        <v>1291</v>
      </c>
      <c r="B412" s="982" t="s">
        <v>1211</v>
      </c>
      <c r="C412" s="976">
        <v>71</v>
      </c>
      <c r="D412" s="977" t="s">
        <v>3384</v>
      </c>
      <c r="E412" s="978">
        <f>'Update Descrip'!D3674</f>
        <v>354.77</v>
      </c>
      <c r="F412" s="979" t="s">
        <v>3170</v>
      </c>
      <c r="G412" s="281"/>
      <c r="I412" s="281"/>
    </row>
    <row r="413" spans="1:9" ht="14.25" customHeight="1">
      <c r="A413" s="970" t="s">
        <v>1292</v>
      </c>
      <c r="B413" s="982" t="s">
        <v>292</v>
      </c>
      <c r="C413" s="976">
        <v>72</v>
      </c>
      <c r="D413" s="977" t="s">
        <v>3384</v>
      </c>
      <c r="E413" s="978">
        <f>'Update Descrip'!D3691</f>
        <v>385.3</v>
      </c>
      <c r="F413" s="979" t="s">
        <v>3170</v>
      </c>
      <c r="G413" s="281"/>
      <c r="I413" s="281"/>
    </row>
    <row r="414" spans="1:9" ht="19.5">
      <c r="A414" s="970" t="s">
        <v>1293</v>
      </c>
      <c r="B414" s="975" t="s">
        <v>1215</v>
      </c>
      <c r="C414" s="976">
        <v>72</v>
      </c>
      <c r="D414" s="977" t="s">
        <v>3384</v>
      </c>
      <c r="E414" s="978">
        <f>'Update Descrip'!D3705</f>
        <v>464.2</v>
      </c>
      <c r="F414" s="979" t="s">
        <v>3170</v>
      </c>
      <c r="G414" s="281"/>
      <c r="I414" s="281"/>
    </row>
    <row r="415" spans="1:9" ht="19.5">
      <c r="A415" s="970" t="s">
        <v>1294</v>
      </c>
      <c r="B415" s="975" t="s">
        <v>1216</v>
      </c>
      <c r="C415" s="976">
        <v>72</v>
      </c>
      <c r="D415" s="977" t="s">
        <v>3384</v>
      </c>
      <c r="E415" s="978">
        <f>'Update Descrip'!D3718</f>
        <v>350.54</v>
      </c>
      <c r="F415" s="979" t="s">
        <v>3170</v>
      </c>
      <c r="G415" s="281"/>
      <c r="I415" s="281"/>
    </row>
    <row r="416" spans="1:9" ht="19.5">
      <c r="A416" s="970" t="s">
        <v>1295</v>
      </c>
      <c r="B416" s="975" t="s">
        <v>1217</v>
      </c>
      <c r="C416" s="976">
        <v>73</v>
      </c>
      <c r="D416" s="977" t="s">
        <v>3384</v>
      </c>
      <c r="E416" s="978">
        <f>'Update Descrip'!D3731</f>
        <v>100.05</v>
      </c>
      <c r="F416" s="979" t="s">
        <v>3170</v>
      </c>
      <c r="G416" s="281"/>
      <c r="I416" s="281"/>
    </row>
    <row r="417" spans="1:9" ht="19.5">
      <c r="A417" s="970" t="s">
        <v>1296</v>
      </c>
      <c r="B417" s="975" t="s">
        <v>1238</v>
      </c>
      <c r="C417" s="976">
        <v>73</v>
      </c>
      <c r="D417" s="977" t="s">
        <v>3384</v>
      </c>
      <c r="E417" s="978">
        <f>'Update Descrip'!D3746</f>
        <v>673.26</v>
      </c>
      <c r="F417" s="979" t="s">
        <v>3170</v>
      </c>
      <c r="G417" s="281"/>
      <c r="I417" s="281"/>
    </row>
    <row r="418" spans="1:9" ht="19.5">
      <c r="A418" s="970" t="s">
        <v>1298</v>
      </c>
      <c r="B418" s="975" t="s">
        <v>2520</v>
      </c>
      <c r="C418" s="976">
        <v>73</v>
      </c>
      <c r="D418" s="977" t="s">
        <v>3384</v>
      </c>
      <c r="E418" s="978">
        <f>'Update Descrip'!D3762</f>
        <v>1078.3499999999999</v>
      </c>
      <c r="F418" s="979" t="s">
        <v>3170</v>
      </c>
      <c r="G418" s="281"/>
      <c r="I418" s="281"/>
    </row>
    <row r="419" spans="1:9" ht="19.5">
      <c r="A419" s="970" t="s">
        <v>1299</v>
      </c>
      <c r="B419" s="975" t="s">
        <v>1239</v>
      </c>
      <c r="C419" s="976">
        <v>74</v>
      </c>
      <c r="D419" s="977" t="s">
        <v>3384</v>
      </c>
      <c r="E419" s="978">
        <f>'Update Descrip'!D3779</f>
        <v>816.86</v>
      </c>
      <c r="F419" s="979" t="s">
        <v>3170</v>
      </c>
      <c r="G419" s="281"/>
      <c r="I419" s="281"/>
    </row>
    <row r="420" spans="1:9" ht="15">
      <c r="A420" s="983"/>
      <c r="B420" s="971"/>
      <c r="C420" s="972"/>
      <c r="D420" s="973"/>
      <c r="E420" s="974"/>
      <c r="F420" s="973"/>
      <c r="G420" s="281"/>
      <c r="I420" s="281"/>
    </row>
    <row r="421" spans="1:9" ht="18">
      <c r="A421" s="1200" t="s">
        <v>1288</v>
      </c>
      <c r="B421" s="1200"/>
      <c r="C421" s="1200"/>
      <c r="D421" s="1200"/>
      <c r="E421" s="1200"/>
      <c r="F421" s="1200"/>
      <c r="G421" s="281"/>
      <c r="I421" s="281"/>
    </row>
    <row r="422" spans="1:9" ht="17.25">
      <c r="A422" s="972"/>
      <c r="B422" s="971"/>
      <c r="C422" s="976"/>
      <c r="D422" s="984"/>
      <c r="E422" s="974"/>
      <c r="F422" s="973"/>
      <c r="G422" s="281"/>
      <c r="I422" s="281"/>
    </row>
    <row r="423" spans="1:9" ht="18.75" customHeight="1">
      <c r="A423" s="970" t="s">
        <v>3488</v>
      </c>
      <c r="B423" s="975" t="s">
        <v>178</v>
      </c>
      <c r="C423" s="976">
        <v>74</v>
      </c>
      <c r="D423" s="977" t="s">
        <v>3384</v>
      </c>
      <c r="E423" s="978">
        <f>'Update Descrip'!B3942</f>
        <v>12064.63</v>
      </c>
      <c r="F423" s="979" t="s">
        <v>855</v>
      </c>
      <c r="G423" s="281"/>
      <c r="I423" s="281"/>
    </row>
    <row r="424" spans="1:9" ht="19.5">
      <c r="A424" s="970" t="s">
        <v>3489</v>
      </c>
      <c r="B424" s="975" t="s">
        <v>179</v>
      </c>
      <c r="C424" s="976">
        <v>74</v>
      </c>
      <c r="D424" s="977" t="s">
        <v>3384</v>
      </c>
      <c r="E424" s="978">
        <f>'Update Descrip'!D3429</f>
        <v>144.03</v>
      </c>
      <c r="F424" s="979" t="s">
        <v>3170</v>
      </c>
      <c r="G424" s="281"/>
      <c r="I424" s="281"/>
    </row>
    <row r="425" spans="1:9" ht="21">
      <c r="A425" s="970" t="s">
        <v>3490</v>
      </c>
      <c r="B425" s="975" t="s">
        <v>223</v>
      </c>
      <c r="C425" s="976">
        <v>75</v>
      </c>
      <c r="D425" s="977" t="s">
        <v>3384</v>
      </c>
      <c r="E425" s="978">
        <f>'Update Descrip'!B3916</f>
        <v>46.57</v>
      </c>
      <c r="F425" s="979" t="s">
        <v>3170</v>
      </c>
      <c r="G425" s="296"/>
      <c r="H425" s="296"/>
      <c r="I425" s="281"/>
    </row>
    <row r="426" spans="1:9" ht="19.5">
      <c r="A426" s="970" t="s">
        <v>3491</v>
      </c>
      <c r="B426" s="975" t="s">
        <v>2521</v>
      </c>
      <c r="C426" s="976">
        <v>75</v>
      </c>
      <c r="D426" s="977" t="s">
        <v>3384</v>
      </c>
      <c r="E426" s="978">
        <f>'Update Descrip'!B3927</f>
        <v>67.52</v>
      </c>
      <c r="F426" s="979" t="s">
        <v>3170</v>
      </c>
      <c r="G426" s="281"/>
      <c r="I426" s="281"/>
    </row>
    <row r="427" spans="1:9" ht="19.5">
      <c r="A427" s="970" t="s">
        <v>3492</v>
      </c>
      <c r="B427" s="975" t="s">
        <v>224</v>
      </c>
      <c r="C427" s="976">
        <v>75</v>
      </c>
      <c r="D427" s="977" t="s">
        <v>3384</v>
      </c>
      <c r="E427" s="978">
        <f>'Update Descrip'!B3872</f>
        <v>457.12</v>
      </c>
      <c r="F427" s="979" t="s">
        <v>855</v>
      </c>
      <c r="G427" s="281"/>
      <c r="I427" s="281"/>
    </row>
    <row r="428" spans="1:9" ht="19.5">
      <c r="A428" s="970" t="s">
        <v>204</v>
      </c>
      <c r="B428" s="975" t="s">
        <v>183</v>
      </c>
      <c r="C428" s="976">
        <v>76</v>
      </c>
      <c r="D428" s="977" t="s">
        <v>3384</v>
      </c>
      <c r="E428" s="978">
        <f>'Update Descrip'!B3882</f>
        <v>914.25</v>
      </c>
      <c r="F428" s="979" t="s">
        <v>855</v>
      </c>
      <c r="G428" s="281"/>
      <c r="I428" s="281"/>
    </row>
    <row r="429" spans="1:9" ht="19.5">
      <c r="A429" s="970" t="s">
        <v>3494</v>
      </c>
      <c r="B429" s="975" t="s">
        <v>2991</v>
      </c>
      <c r="C429" s="976">
        <v>76</v>
      </c>
      <c r="D429" s="977" t="s">
        <v>3384</v>
      </c>
      <c r="E429" s="978">
        <f>'Update Descrip'!B3893</f>
        <v>4743.75</v>
      </c>
      <c r="F429" s="979" t="s">
        <v>855</v>
      </c>
      <c r="G429" s="281"/>
      <c r="I429" s="281"/>
    </row>
    <row r="430" spans="1:9" ht="19.5">
      <c r="A430" s="970" t="s">
        <v>3495</v>
      </c>
      <c r="B430" s="975" t="s">
        <v>2992</v>
      </c>
      <c r="C430" s="976">
        <v>76</v>
      </c>
      <c r="D430" s="977" t="s">
        <v>3384</v>
      </c>
      <c r="E430" s="978">
        <f>'Update Descrip'!B3905</f>
        <v>1725</v>
      </c>
      <c r="F430" s="979" t="s">
        <v>855</v>
      </c>
      <c r="G430" s="281"/>
      <c r="I430" s="281"/>
    </row>
    <row r="431" spans="1:9" ht="15">
      <c r="A431" s="983"/>
      <c r="B431" s="985"/>
      <c r="C431" s="972"/>
      <c r="D431" s="973"/>
      <c r="E431" s="974"/>
      <c r="F431" s="973"/>
      <c r="G431" s="281"/>
      <c r="I431" s="281"/>
    </row>
    <row r="432" spans="1:9" ht="18">
      <c r="A432" s="1200" t="s">
        <v>1297</v>
      </c>
      <c r="B432" s="1200"/>
      <c r="C432" s="1200"/>
      <c r="D432" s="1200"/>
      <c r="E432" s="1200"/>
      <c r="F432" s="1200"/>
      <c r="G432" s="281"/>
      <c r="I432" s="281"/>
    </row>
    <row r="433" spans="1:9" ht="18">
      <c r="A433" s="970"/>
      <c r="B433" s="971"/>
      <c r="C433" s="972"/>
      <c r="D433" s="973"/>
      <c r="E433" s="974"/>
      <c r="F433" s="973"/>
      <c r="G433" s="281"/>
      <c r="I433" s="281"/>
    </row>
    <row r="434" spans="1:9" ht="19.5">
      <c r="A434" s="973">
        <v>183</v>
      </c>
      <c r="B434" s="986" t="s">
        <v>4240</v>
      </c>
      <c r="C434" s="987">
        <v>76</v>
      </c>
      <c r="D434" s="977" t="s">
        <v>3384</v>
      </c>
      <c r="E434" s="988">
        <f>'Update Descrip'!D4116</f>
        <v>132.82</v>
      </c>
      <c r="F434" s="989" t="s">
        <v>3355</v>
      </c>
      <c r="G434" s="281"/>
      <c r="I434" s="281"/>
    </row>
    <row r="435" spans="1:9" ht="16.5" customHeight="1">
      <c r="A435" s="973">
        <f>A434+1</f>
        <v>184</v>
      </c>
      <c r="B435" s="975" t="s">
        <v>2679</v>
      </c>
      <c r="C435" s="976">
        <v>77</v>
      </c>
      <c r="D435" s="977" t="s">
        <v>3384</v>
      </c>
      <c r="E435" s="978">
        <f>'Update Descrip'!D4138</f>
        <v>2143.79</v>
      </c>
      <c r="F435" s="979" t="s">
        <v>3170</v>
      </c>
      <c r="G435" s="281"/>
      <c r="I435" s="281"/>
    </row>
    <row r="436" spans="1:9" ht="19.5">
      <c r="A436" s="973">
        <f t="shared" ref="A436:A441" si="7">A435+1</f>
        <v>185</v>
      </c>
      <c r="B436" s="975" t="s">
        <v>1259</v>
      </c>
      <c r="C436" s="976">
        <v>77</v>
      </c>
      <c r="D436" s="977" t="s">
        <v>3384</v>
      </c>
      <c r="E436" s="978">
        <f>'Update Descrip'!D4127</f>
        <v>2855.73</v>
      </c>
      <c r="F436" s="979" t="s">
        <v>3170</v>
      </c>
      <c r="G436" s="281"/>
      <c r="I436" s="281"/>
    </row>
    <row r="437" spans="1:9" ht="19.5">
      <c r="A437" s="973">
        <f t="shared" si="7"/>
        <v>186</v>
      </c>
      <c r="B437" s="975" t="s">
        <v>526</v>
      </c>
      <c r="C437" s="976">
        <v>77</v>
      </c>
      <c r="D437" s="977" t="s">
        <v>3384</v>
      </c>
      <c r="E437" s="978">
        <f>'Update Descrip'!D4206</f>
        <v>5036.21</v>
      </c>
      <c r="F437" s="979" t="s">
        <v>3170</v>
      </c>
      <c r="G437" s="464"/>
      <c r="H437" s="464"/>
      <c r="I437" s="281"/>
    </row>
    <row r="438" spans="1:9" ht="19.5">
      <c r="A438" s="973">
        <f t="shared" si="7"/>
        <v>187</v>
      </c>
      <c r="B438" s="975" t="s">
        <v>527</v>
      </c>
      <c r="C438" s="976">
        <v>78</v>
      </c>
      <c r="D438" s="977" t="s">
        <v>3384</v>
      </c>
      <c r="E438" s="978">
        <f>'Update Descrip'!D4194</f>
        <v>3538.96</v>
      </c>
      <c r="F438" s="979" t="s">
        <v>3170</v>
      </c>
      <c r="G438" s="465"/>
      <c r="H438" s="465"/>
      <c r="I438" s="281"/>
    </row>
    <row r="439" spans="1:9" ht="19.5">
      <c r="A439" s="973">
        <f t="shared" si="7"/>
        <v>188</v>
      </c>
      <c r="B439" s="975" t="s">
        <v>1676</v>
      </c>
      <c r="C439" s="976">
        <v>78</v>
      </c>
      <c r="D439" s="977" t="s">
        <v>3384</v>
      </c>
      <c r="E439" s="978">
        <f>'Update Descrip'!D4217</f>
        <v>6805.7</v>
      </c>
      <c r="F439" s="979" t="s">
        <v>3170</v>
      </c>
      <c r="G439" s="281"/>
      <c r="I439" s="281"/>
    </row>
    <row r="440" spans="1:9" ht="19.5">
      <c r="A440" s="973">
        <f t="shared" si="7"/>
        <v>189</v>
      </c>
      <c r="B440" s="975" t="s">
        <v>3336</v>
      </c>
      <c r="C440" s="976">
        <v>78</v>
      </c>
      <c r="D440" s="977" t="s">
        <v>3384</v>
      </c>
      <c r="E440" s="978">
        <f>'Update Descrip'!D4231</f>
        <v>48.57</v>
      </c>
      <c r="F440" s="990" t="s">
        <v>2938</v>
      </c>
      <c r="G440" s="281"/>
      <c r="I440" s="281"/>
    </row>
    <row r="441" spans="1:9" ht="19.5">
      <c r="A441" s="973">
        <f t="shared" si="7"/>
        <v>190</v>
      </c>
      <c r="B441" s="991" t="s">
        <v>2678</v>
      </c>
      <c r="C441" s="976">
        <v>79</v>
      </c>
      <c r="D441" s="977" t="s">
        <v>3384</v>
      </c>
      <c r="E441" s="978">
        <f>'Update Descrip'!D4246</f>
        <v>1295.17</v>
      </c>
      <c r="F441" s="990" t="s">
        <v>2938</v>
      </c>
      <c r="G441" s="281"/>
      <c r="I441" s="281"/>
    </row>
    <row r="442" spans="1:9" ht="15">
      <c r="A442" s="983"/>
      <c r="B442" s="992" t="s">
        <v>607</v>
      </c>
      <c r="C442" s="972"/>
      <c r="D442" s="973"/>
      <c r="E442" s="974"/>
      <c r="F442" s="973"/>
      <c r="G442" s="281"/>
      <c r="I442" s="281"/>
    </row>
    <row r="443" spans="1:9" ht="15">
      <c r="A443" s="983"/>
      <c r="B443" s="992"/>
      <c r="C443" s="972"/>
      <c r="D443" s="973"/>
      <c r="E443" s="974"/>
      <c r="F443" s="973"/>
      <c r="G443" s="281"/>
      <c r="I443" s="281"/>
    </row>
    <row r="444" spans="1:9" ht="18">
      <c r="A444" s="1200" t="s">
        <v>3493</v>
      </c>
      <c r="B444" s="1200"/>
      <c r="C444" s="1200"/>
      <c r="D444" s="1200"/>
      <c r="E444" s="1200"/>
      <c r="F444" s="1200"/>
      <c r="G444" s="281"/>
      <c r="I444" s="281"/>
    </row>
    <row r="445" spans="1:9" ht="18">
      <c r="A445" s="970"/>
      <c r="B445" s="971"/>
      <c r="C445" s="972"/>
      <c r="D445" s="973"/>
      <c r="E445" s="974"/>
      <c r="F445" s="973"/>
      <c r="G445" s="281"/>
      <c r="I445" s="281"/>
    </row>
    <row r="446" spans="1:9" ht="27.75">
      <c r="A446" s="993">
        <v>191</v>
      </c>
      <c r="B446" s="994" t="s">
        <v>2295</v>
      </c>
      <c r="C446" s="976">
        <v>79</v>
      </c>
      <c r="D446" s="977" t="s">
        <v>3384</v>
      </c>
      <c r="E446" s="978" t="e">
        <f>Sheet1!#REF!</f>
        <v>#REF!</v>
      </c>
      <c r="F446" s="979" t="s">
        <v>3170</v>
      </c>
      <c r="G446" s="281"/>
      <c r="I446" s="281"/>
    </row>
    <row r="447" spans="1:9" ht="27.75">
      <c r="A447" s="993">
        <f t="shared" ref="A447:A453" si="8">A446+1</f>
        <v>192</v>
      </c>
      <c r="B447" s="994" t="s">
        <v>2294</v>
      </c>
      <c r="C447" s="976">
        <v>79</v>
      </c>
      <c r="D447" s="977" t="s">
        <v>3384</v>
      </c>
      <c r="E447" s="978">
        <f>Sheet1!B25</f>
        <v>5852.9000000000005</v>
      </c>
      <c r="F447" s="979" t="s">
        <v>3170</v>
      </c>
      <c r="G447" s="281"/>
      <c r="I447" s="281"/>
    </row>
    <row r="448" spans="1:9" ht="17.25">
      <c r="A448" s="993">
        <f t="shared" si="8"/>
        <v>193</v>
      </c>
      <c r="B448" s="994" t="s">
        <v>2296</v>
      </c>
      <c r="C448" s="976">
        <v>80</v>
      </c>
      <c r="D448" s="977" t="s">
        <v>3384</v>
      </c>
      <c r="E448" s="978">
        <f>'Update Descrip'!B4553</f>
        <v>5444.56</v>
      </c>
      <c r="F448" s="979" t="s">
        <v>3170</v>
      </c>
      <c r="G448" s="281"/>
      <c r="I448" s="281"/>
    </row>
    <row r="449" spans="1:9" ht="17.25">
      <c r="A449" s="993">
        <f t="shared" si="8"/>
        <v>194</v>
      </c>
      <c r="B449" s="994" t="s">
        <v>3652</v>
      </c>
      <c r="C449" s="976">
        <v>80</v>
      </c>
      <c r="D449" s="977" t="s">
        <v>3384</v>
      </c>
      <c r="E449" s="978">
        <f>'Update Descrip'!B4563</f>
        <v>5852.9000000000005</v>
      </c>
      <c r="F449" s="979" t="s">
        <v>3170</v>
      </c>
      <c r="G449" s="281"/>
      <c r="I449" s="281"/>
    </row>
    <row r="450" spans="1:9" ht="17.25">
      <c r="A450" s="993">
        <f t="shared" si="8"/>
        <v>195</v>
      </c>
      <c r="B450" s="994" t="s">
        <v>2297</v>
      </c>
      <c r="C450" s="976">
        <v>81</v>
      </c>
      <c r="D450" s="977" t="s">
        <v>3384</v>
      </c>
      <c r="E450" s="978">
        <f>'Update Descrip'!B4575</f>
        <v>5716.78</v>
      </c>
      <c r="F450" s="979" t="s">
        <v>3170</v>
      </c>
      <c r="G450" s="281"/>
      <c r="I450" s="281"/>
    </row>
    <row r="451" spans="1:9" ht="17.25">
      <c r="A451" s="993">
        <f t="shared" si="8"/>
        <v>196</v>
      </c>
      <c r="B451" s="994" t="s">
        <v>2298</v>
      </c>
      <c r="C451" s="976">
        <v>81</v>
      </c>
      <c r="D451" s="977" t="s">
        <v>3384</v>
      </c>
      <c r="E451" s="978">
        <f>'Update Descrip'!B4589</f>
        <v>6125.13</v>
      </c>
      <c r="F451" s="979" t="s">
        <v>3170</v>
      </c>
      <c r="G451" s="281"/>
      <c r="I451" s="281"/>
    </row>
    <row r="452" spans="1:9" ht="17.25">
      <c r="A452" s="993">
        <f t="shared" si="8"/>
        <v>197</v>
      </c>
      <c r="B452" s="994" t="s">
        <v>2293</v>
      </c>
      <c r="C452" s="976">
        <v>81</v>
      </c>
      <c r="D452" s="977" t="s">
        <v>3384</v>
      </c>
      <c r="E452" s="978">
        <f>'Update Descrip'!B4602</f>
        <v>6397.35</v>
      </c>
      <c r="F452" s="979" t="s">
        <v>3170</v>
      </c>
      <c r="G452" s="281"/>
      <c r="I452" s="281"/>
    </row>
    <row r="453" spans="1:9" ht="27.75">
      <c r="A453" s="993">
        <f t="shared" si="8"/>
        <v>198</v>
      </c>
      <c r="B453" s="994" t="s">
        <v>2058</v>
      </c>
      <c r="C453" s="976">
        <v>82</v>
      </c>
      <c r="D453" s="977" t="s">
        <v>3384</v>
      </c>
      <c r="E453" s="978">
        <f>'Update Descrip'!B4614</f>
        <v>5444.56</v>
      </c>
      <c r="F453" s="979" t="s">
        <v>3170</v>
      </c>
      <c r="G453" s="281"/>
      <c r="I453" s="281"/>
    </row>
    <row r="454" spans="1:9" ht="27.75">
      <c r="A454" s="993">
        <f t="shared" ref="A454:A502" si="9">A453+1</f>
        <v>199</v>
      </c>
      <c r="B454" s="994" t="s">
        <v>1830</v>
      </c>
      <c r="C454" s="976">
        <v>82</v>
      </c>
      <c r="D454" s="977" t="s">
        <v>3384</v>
      </c>
      <c r="E454" s="978">
        <f>'Update Descrip'!B4625</f>
        <v>6669.58</v>
      </c>
      <c r="F454" s="979" t="s">
        <v>3170</v>
      </c>
      <c r="G454" s="281"/>
      <c r="I454" s="281"/>
    </row>
    <row r="455" spans="1:9" ht="19.5">
      <c r="A455" s="993">
        <f t="shared" si="9"/>
        <v>200</v>
      </c>
      <c r="B455" s="995" t="s">
        <v>1260</v>
      </c>
      <c r="C455" s="976">
        <v>82</v>
      </c>
      <c r="D455" s="977" t="s">
        <v>3384</v>
      </c>
      <c r="E455" s="978">
        <f>Sheet1!D15</f>
        <v>262.89</v>
      </c>
      <c r="F455" s="979" t="s">
        <v>3096</v>
      </c>
      <c r="G455" s="281"/>
      <c r="I455" s="281"/>
    </row>
    <row r="456" spans="1:9" ht="19.5">
      <c r="A456" s="993">
        <f t="shared" si="9"/>
        <v>201</v>
      </c>
      <c r="B456" s="995" t="s">
        <v>1261</v>
      </c>
      <c r="C456" s="976">
        <v>83</v>
      </c>
      <c r="D456" s="977" t="s">
        <v>3384</v>
      </c>
      <c r="E456" s="978">
        <f>'Update Descrip'!D4262</f>
        <v>128.58000000000001</v>
      </c>
      <c r="F456" s="979" t="s">
        <v>3096</v>
      </c>
      <c r="G456" s="281"/>
      <c r="I456" s="281"/>
    </row>
    <row r="457" spans="1:9" ht="19.5">
      <c r="A457" s="993">
        <f t="shared" si="9"/>
        <v>202</v>
      </c>
      <c r="B457" s="975" t="s">
        <v>1796</v>
      </c>
      <c r="C457" s="976">
        <v>83</v>
      </c>
      <c r="D457" s="977" t="s">
        <v>3384</v>
      </c>
      <c r="E457" s="978">
        <f>Sheet1!B40</f>
        <v>1886</v>
      </c>
      <c r="F457" s="990" t="s">
        <v>2938</v>
      </c>
      <c r="G457" s="281"/>
      <c r="I457" s="281"/>
    </row>
    <row r="458" spans="1:9" ht="19.5">
      <c r="A458" s="993">
        <f t="shared" si="9"/>
        <v>203</v>
      </c>
      <c r="B458" s="995" t="s">
        <v>2538</v>
      </c>
      <c r="C458" s="976">
        <v>84</v>
      </c>
      <c r="D458" s="977" t="s">
        <v>3384</v>
      </c>
      <c r="E458" s="978">
        <f>Sheet1!B58</f>
        <v>1546.75</v>
      </c>
      <c r="F458" s="979" t="s">
        <v>3170</v>
      </c>
      <c r="G458" s="281"/>
      <c r="I458" s="281"/>
    </row>
    <row r="459" spans="1:9" ht="22.5">
      <c r="A459" s="993">
        <f t="shared" si="9"/>
        <v>204</v>
      </c>
      <c r="B459" s="995" t="s">
        <v>3627</v>
      </c>
      <c r="C459" s="976">
        <v>84</v>
      </c>
      <c r="D459" s="977" t="s">
        <v>3384</v>
      </c>
      <c r="E459" s="978">
        <f>Sheet1!B76</f>
        <v>920</v>
      </c>
      <c r="F459" s="979" t="s">
        <v>3170</v>
      </c>
      <c r="G459" s="281"/>
      <c r="I459" s="281"/>
    </row>
    <row r="460" spans="1:9" ht="19.5">
      <c r="A460" s="993">
        <f t="shared" si="9"/>
        <v>205</v>
      </c>
      <c r="B460" s="975" t="s">
        <v>1262</v>
      </c>
      <c r="C460" s="976">
        <v>85</v>
      </c>
      <c r="D460" s="977" t="s">
        <v>3384</v>
      </c>
      <c r="E460" s="978">
        <f>'Update Descrip'!D3399</f>
        <v>36.659999999999997</v>
      </c>
      <c r="F460" s="979" t="s">
        <v>3170</v>
      </c>
      <c r="G460" s="281"/>
      <c r="I460" s="281"/>
    </row>
    <row r="461" spans="1:9" ht="19.5">
      <c r="A461" s="993">
        <f t="shared" si="9"/>
        <v>206</v>
      </c>
      <c r="B461" s="975" t="s">
        <v>3121</v>
      </c>
      <c r="C461" s="976">
        <v>85</v>
      </c>
      <c r="D461" s="977" t="s">
        <v>3384</v>
      </c>
      <c r="E461" s="978">
        <f>'Update Descrip'!D3414</f>
        <v>38.61</v>
      </c>
      <c r="F461" s="979" t="s">
        <v>3170</v>
      </c>
      <c r="G461" s="281"/>
      <c r="I461" s="281"/>
    </row>
    <row r="462" spans="1:9" ht="19.5">
      <c r="A462" s="993">
        <f t="shared" si="9"/>
        <v>207</v>
      </c>
      <c r="B462" s="975" t="s">
        <v>495</v>
      </c>
      <c r="C462" s="976">
        <v>86</v>
      </c>
      <c r="D462" s="977" t="s">
        <v>3384</v>
      </c>
      <c r="E462" s="978">
        <f>'Update Descrip'!D3441</f>
        <v>82.38</v>
      </c>
      <c r="F462" s="979" t="s">
        <v>3170</v>
      </c>
      <c r="G462" s="281"/>
      <c r="I462" s="281"/>
    </row>
    <row r="463" spans="1:9" ht="19.5">
      <c r="A463" s="993">
        <f t="shared" si="9"/>
        <v>208</v>
      </c>
      <c r="B463" s="975" t="s">
        <v>496</v>
      </c>
      <c r="C463" s="976">
        <v>86</v>
      </c>
      <c r="D463" s="977" t="s">
        <v>3384</v>
      </c>
      <c r="E463" s="978">
        <f>'Update Descrip'!D3454</f>
        <v>153.36000000000001</v>
      </c>
      <c r="F463" s="979" t="s">
        <v>3170</v>
      </c>
      <c r="G463" s="281"/>
      <c r="I463" s="281"/>
    </row>
    <row r="464" spans="1:9" ht="19.5">
      <c r="A464" s="993">
        <f t="shared" si="9"/>
        <v>209</v>
      </c>
      <c r="B464" s="975" t="s">
        <v>2438</v>
      </c>
      <c r="C464" s="976">
        <v>86</v>
      </c>
      <c r="D464" s="977" t="s">
        <v>3384</v>
      </c>
      <c r="E464" s="978">
        <f>'Update Descrip'!D3469</f>
        <v>82.48</v>
      </c>
      <c r="F464" s="979" t="s">
        <v>3170</v>
      </c>
      <c r="G464" s="281"/>
      <c r="I464" s="281"/>
    </row>
    <row r="465" spans="1:9" ht="21.75" customHeight="1">
      <c r="A465" s="993">
        <f t="shared" si="9"/>
        <v>210</v>
      </c>
      <c r="B465" s="975" t="s">
        <v>2439</v>
      </c>
      <c r="C465" s="976">
        <v>87</v>
      </c>
      <c r="D465" s="977" t="s">
        <v>3384</v>
      </c>
      <c r="E465" s="978">
        <f>'Update Descrip'!D3483</f>
        <v>153.54</v>
      </c>
      <c r="F465" s="979" t="s">
        <v>3170</v>
      </c>
      <c r="G465" s="281"/>
      <c r="I465" s="281"/>
    </row>
    <row r="466" spans="1:9" ht="19.5">
      <c r="A466" s="993">
        <f t="shared" si="9"/>
        <v>211</v>
      </c>
      <c r="B466" s="975" t="s">
        <v>3387</v>
      </c>
      <c r="C466" s="976">
        <v>87</v>
      </c>
      <c r="D466" s="977" t="s">
        <v>3384</v>
      </c>
      <c r="E466" s="978">
        <f>'Update Descrip'!D3498</f>
        <v>64.62</v>
      </c>
      <c r="F466" s="979" t="s">
        <v>3170</v>
      </c>
      <c r="G466" s="281"/>
      <c r="I466" s="281"/>
    </row>
    <row r="467" spans="1:9" ht="19.5">
      <c r="A467" s="993">
        <f t="shared" si="9"/>
        <v>212</v>
      </c>
      <c r="B467" s="975" t="s">
        <v>1219</v>
      </c>
      <c r="C467" s="976">
        <v>87</v>
      </c>
      <c r="D467" s="977" t="s">
        <v>3384</v>
      </c>
      <c r="E467" s="978">
        <f>'Update Descrip'!D3514</f>
        <v>131.74</v>
      </c>
      <c r="F467" s="979" t="s">
        <v>3170</v>
      </c>
      <c r="G467" s="281"/>
      <c r="I467" s="281"/>
    </row>
    <row r="468" spans="1:9" ht="19.5">
      <c r="A468" s="993">
        <f t="shared" si="9"/>
        <v>213</v>
      </c>
      <c r="B468" s="975" t="s">
        <v>1623</v>
      </c>
      <c r="C468" s="976">
        <v>88</v>
      </c>
      <c r="D468" s="977" t="s">
        <v>3384</v>
      </c>
      <c r="E468" s="978">
        <f>'Update Descrip'!D3527</f>
        <v>63.6</v>
      </c>
      <c r="F468" s="979" t="s">
        <v>3170</v>
      </c>
      <c r="G468" s="281"/>
      <c r="I468" s="281"/>
    </row>
    <row r="469" spans="1:9" ht="19.5">
      <c r="A469" s="993">
        <f t="shared" si="9"/>
        <v>214</v>
      </c>
      <c r="B469" s="975" t="s">
        <v>3626</v>
      </c>
      <c r="C469" s="976">
        <v>88</v>
      </c>
      <c r="D469" s="977" t="s">
        <v>3384</v>
      </c>
      <c r="E469" s="978">
        <f>'Update Descrip'!D3541</f>
        <v>124.79</v>
      </c>
      <c r="F469" s="979" t="s">
        <v>3170</v>
      </c>
      <c r="G469" s="281"/>
      <c r="I469" s="281"/>
    </row>
    <row r="470" spans="1:9" ht="19.5">
      <c r="A470" s="993">
        <f t="shared" si="9"/>
        <v>215</v>
      </c>
      <c r="B470" s="975" t="s">
        <v>2233</v>
      </c>
      <c r="C470" s="976">
        <v>89</v>
      </c>
      <c r="D470" s="977" t="s">
        <v>3384</v>
      </c>
      <c r="E470" s="978">
        <f>'Update Descrip'!D4281</f>
        <v>2468.79</v>
      </c>
      <c r="F470" s="979" t="s">
        <v>3170</v>
      </c>
      <c r="G470" s="281"/>
      <c r="I470" s="281"/>
    </row>
    <row r="471" spans="1:9" ht="19.5">
      <c r="A471" s="993">
        <f t="shared" si="9"/>
        <v>216</v>
      </c>
      <c r="B471" s="975" t="s">
        <v>0</v>
      </c>
      <c r="C471" s="976">
        <v>89</v>
      </c>
      <c r="D471" s="977" t="s">
        <v>3384</v>
      </c>
      <c r="E471" s="978">
        <f>'Update Descrip'!D4299</f>
        <v>2623.8949500000003</v>
      </c>
      <c r="F471" s="979" t="s">
        <v>3170</v>
      </c>
      <c r="G471" s="281"/>
      <c r="I471" s="281"/>
    </row>
    <row r="472" spans="1:9" ht="19.5">
      <c r="A472" s="993">
        <f t="shared" si="9"/>
        <v>217</v>
      </c>
      <c r="B472" s="975" t="s">
        <v>1271</v>
      </c>
      <c r="C472" s="976">
        <v>90</v>
      </c>
      <c r="D472" s="977" t="s">
        <v>3384</v>
      </c>
      <c r="E472" s="978">
        <f>'Update Descrip'!D4172</f>
        <v>134.91</v>
      </c>
      <c r="F472" s="979" t="s">
        <v>3096</v>
      </c>
      <c r="G472" s="281"/>
      <c r="I472" s="281"/>
    </row>
    <row r="473" spans="1:9" ht="19.5">
      <c r="A473" s="993">
        <f t="shared" si="9"/>
        <v>218</v>
      </c>
      <c r="B473" s="975" t="s">
        <v>2267</v>
      </c>
      <c r="C473" s="976">
        <v>90</v>
      </c>
      <c r="D473" s="977" t="s">
        <v>3384</v>
      </c>
      <c r="E473" s="978">
        <f>'Update Descrip'!D1437</f>
        <v>1948.8240000000001</v>
      </c>
      <c r="F473" s="979" t="s">
        <v>3170</v>
      </c>
      <c r="G473" s="281"/>
      <c r="I473" s="281"/>
    </row>
    <row r="474" spans="1:9" ht="37.5">
      <c r="A474" s="993">
        <f t="shared" si="9"/>
        <v>219</v>
      </c>
      <c r="B474" s="996" t="s">
        <v>3526</v>
      </c>
      <c r="C474" s="976">
        <v>90</v>
      </c>
      <c r="D474" s="977" t="s">
        <v>3384</v>
      </c>
      <c r="E474" s="978">
        <f>'Update Descrip'!D1452</f>
        <v>1158.05</v>
      </c>
      <c r="F474" s="979" t="s">
        <v>3170</v>
      </c>
      <c r="G474" s="281"/>
      <c r="I474" s="281"/>
    </row>
    <row r="475" spans="1:9" ht="19.5">
      <c r="A475" s="993">
        <f t="shared" si="9"/>
        <v>220</v>
      </c>
      <c r="B475" s="975" t="s">
        <v>1173</v>
      </c>
      <c r="C475" s="976">
        <v>91</v>
      </c>
      <c r="D475" s="977" t="s">
        <v>3384</v>
      </c>
      <c r="E475" s="978" t="e">
        <f>'Update Descrip'!#REF!</f>
        <v>#REF!</v>
      </c>
      <c r="F475" s="990" t="s">
        <v>2938</v>
      </c>
      <c r="G475" s="281"/>
      <c r="I475" s="281"/>
    </row>
    <row r="476" spans="1:9" ht="19.5">
      <c r="A476" s="993"/>
      <c r="B476" s="975" t="s">
        <v>1174</v>
      </c>
      <c r="C476" s="976">
        <v>91</v>
      </c>
      <c r="D476" s="977" t="s">
        <v>3384</v>
      </c>
      <c r="E476" s="978" t="e">
        <f>'Update Descrip'!#REF!</f>
        <v>#REF!</v>
      </c>
      <c r="F476" s="979" t="s">
        <v>3170</v>
      </c>
      <c r="G476" s="281"/>
      <c r="I476" s="281"/>
    </row>
    <row r="477" spans="1:9" ht="19.5">
      <c r="A477" s="993">
        <v>221</v>
      </c>
      <c r="B477" s="975" t="s">
        <v>3174</v>
      </c>
      <c r="C477" s="976">
        <v>91</v>
      </c>
      <c r="D477" s="977" t="s">
        <v>3384</v>
      </c>
      <c r="E477" s="978">
        <f>'Update Descrip'!D3958</f>
        <v>154.69</v>
      </c>
      <c r="F477" s="979" t="s">
        <v>3170</v>
      </c>
      <c r="G477" s="281"/>
      <c r="I477" s="281"/>
    </row>
    <row r="478" spans="1:9" ht="19.5">
      <c r="A478" s="993">
        <f t="shared" si="9"/>
        <v>222</v>
      </c>
      <c r="B478" s="975" t="s">
        <v>3334</v>
      </c>
      <c r="C478" s="976">
        <v>92</v>
      </c>
      <c r="D478" s="977" t="s">
        <v>3384</v>
      </c>
      <c r="E478" s="978">
        <f>'Update Descrip'!D3971</f>
        <v>41.47</v>
      </c>
      <c r="F478" s="979" t="s">
        <v>3170</v>
      </c>
      <c r="G478" s="281"/>
      <c r="I478" s="281"/>
    </row>
    <row r="479" spans="1:9" ht="19.5">
      <c r="A479" s="993">
        <f t="shared" si="9"/>
        <v>223</v>
      </c>
      <c r="B479" s="975" t="s">
        <v>528</v>
      </c>
      <c r="C479" s="976">
        <v>92</v>
      </c>
      <c r="D479" s="977" t="s">
        <v>3384</v>
      </c>
      <c r="E479" s="978">
        <f>'Update Descrip'!D3987</f>
        <v>171.19</v>
      </c>
      <c r="F479" s="979" t="s">
        <v>3170</v>
      </c>
      <c r="G479" s="281"/>
      <c r="I479" s="281"/>
    </row>
    <row r="480" spans="1:9" ht="19.5">
      <c r="A480" s="993">
        <f t="shared" si="9"/>
        <v>224</v>
      </c>
      <c r="B480" s="975" t="s">
        <v>529</v>
      </c>
      <c r="C480" s="976">
        <v>92</v>
      </c>
      <c r="D480" s="977" t="s">
        <v>3384</v>
      </c>
      <c r="E480" s="978" t="e">
        <f>'Update Descrip'!#REF!</f>
        <v>#REF!</v>
      </c>
      <c r="F480" s="990" t="s">
        <v>2938</v>
      </c>
      <c r="G480" s="281"/>
      <c r="I480" s="281"/>
    </row>
    <row r="481" spans="1:9" ht="19.5">
      <c r="A481" s="993">
        <f t="shared" si="9"/>
        <v>225</v>
      </c>
      <c r="B481" s="975" t="s">
        <v>2230</v>
      </c>
      <c r="C481" s="976">
        <v>93</v>
      </c>
      <c r="D481" s="977" t="s">
        <v>3384</v>
      </c>
      <c r="E481" s="978" t="e">
        <f>'Update Descrip'!#REF!</f>
        <v>#REF!</v>
      </c>
      <c r="F481" s="979" t="s">
        <v>3170</v>
      </c>
      <c r="G481" s="281"/>
      <c r="I481" s="281"/>
    </row>
    <row r="482" spans="1:9" ht="19.5">
      <c r="A482" s="993">
        <f t="shared" si="9"/>
        <v>226</v>
      </c>
      <c r="B482" s="975" t="s">
        <v>1541</v>
      </c>
      <c r="C482" s="976">
        <v>93</v>
      </c>
      <c r="D482" s="977" t="s">
        <v>3384</v>
      </c>
      <c r="E482" s="978">
        <f>'Update Descrip'!B2995</f>
        <v>632.5</v>
      </c>
      <c r="F482" s="979" t="s">
        <v>3170</v>
      </c>
      <c r="G482" s="281"/>
      <c r="I482" s="281"/>
    </row>
    <row r="483" spans="1:9" ht="19.5">
      <c r="A483" s="993">
        <f t="shared" si="9"/>
        <v>227</v>
      </c>
      <c r="B483" s="975" t="s">
        <v>2700</v>
      </c>
      <c r="C483" s="976">
        <v>94</v>
      </c>
      <c r="D483" s="977" t="s">
        <v>3384</v>
      </c>
      <c r="E483" s="978">
        <f>Sheet1!B108</f>
        <v>804.31</v>
      </c>
      <c r="F483" s="979" t="s">
        <v>3170</v>
      </c>
      <c r="G483" s="281"/>
      <c r="I483" s="281"/>
    </row>
    <row r="484" spans="1:9" ht="19.5">
      <c r="A484" s="993">
        <f t="shared" si="9"/>
        <v>228</v>
      </c>
      <c r="B484" s="975" t="s">
        <v>3400</v>
      </c>
      <c r="C484" s="976">
        <v>94</v>
      </c>
      <c r="D484" s="977" t="s">
        <v>3384</v>
      </c>
      <c r="E484" s="978">
        <f>Sheet1!B121</f>
        <v>1175.53</v>
      </c>
      <c r="F484" s="979" t="s">
        <v>3170</v>
      </c>
      <c r="G484" s="281"/>
      <c r="I484" s="281"/>
    </row>
    <row r="485" spans="1:9" ht="19.5">
      <c r="A485" s="993">
        <f t="shared" si="9"/>
        <v>229</v>
      </c>
      <c r="B485" s="975" t="s">
        <v>2537</v>
      </c>
      <c r="C485" s="976">
        <v>94</v>
      </c>
      <c r="D485" s="977" t="s">
        <v>3384</v>
      </c>
      <c r="E485" s="978">
        <f>Sheet1!B134</f>
        <v>1064.1600000000001</v>
      </c>
      <c r="F485" s="979" t="s">
        <v>3170</v>
      </c>
      <c r="G485" s="281"/>
      <c r="I485" s="281"/>
    </row>
    <row r="486" spans="1:9" ht="19.5">
      <c r="A486" s="993">
        <f t="shared" si="9"/>
        <v>230</v>
      </c>
      <c r="B486" s="975" t="s">
        <v>1089</v>
      </c>
      <c r="C486" s="976">
        <v>95</v>
      </c>
      <c r="D486" s="977" t="s">
        <v>3384</v>
      </c>
      <c r="E486" s="978">
        <f>Sheet1!B147</f>
        <v>1212.6500000000001</v>
      </c>
      <c r="F486" s="979" t="s">
        <v>3170</v>
      </c>
      <c r="G486" s="281"/>
      <c r="I486" s="281"/>
    </row>
    <row r="487" spans="1:9" ht="19.5">
      <c r="A487" s="993">
        <f t="shared" si="9"/>
        <v>231</v>
      </c>
      <c r="B487" s="975" t="s">
        <v>3548</v>
      </c>
      <c r="C487" s="976">
        <v>95</v>
      </c>
      <c r="D487" s="977" t="s">
        <v>3384</v>
      </c>
      <c r="E487" s="978">
        <f>Sheet1!B160</f>
        <v>1361.1399999999999</v>
      </c>
      <c r="F487" s="979" t="s">
        <v>3170</v>
      </c>
      <c r="G487" s="281"/>
      <c r="I487" s="281"/>
    </row>
    <row r="488" spans="1:9" ht="19.5">
      <c r="A488" s="993">
        <f t="shared" si="9"/>
        <v>232</v>
      </c>
      <c r="B488" s="975" t="s">
        <v>3547</v>
      </c>
      <c r="C488" s="976">
        <v>95</v>
      </c>
      <c r="D488" s="977" t="s">
        <v>3384</v>
      </c>
      <c r="E488" s="978">
        <f>Sheet1!B173</f>
        <v>903.30000000000007</v>
      </c>
      <c r="F488" s="979" t="s">
        <v>3170</v>
      </c>
      <c r="G488" s="281"/>
      <c r="I488" s="281"/>
    </row>
    <row r="489" spans="1:9" ht="19.5">
      <c r="A489" s="993">
        <f t="shared" si="9"/>
        <v>233</v>
      </c>
      <c r="B489" s="975" t="s">
        <v>3397</v>
      </c>
      <c r="C489" s="976">
        <v>96</v>
      </c>
      <c r="D489" s="977" t="s">
        <v>3384</v>
      </c>
      <c r="E489" s="978">
        <f>'Update Descrip'!D3642</f>
        <v>663.77</v>
      </c>
      <c r="F489" s="979" t="s">
        <v>3170</v>
      </c>
      <c r="G489" s="281"/>
      <c r="I489" s="281"/>
    </row>
    <row r="490" spans="1:9" ht="19.5">
      <c r="A490" s="993">
        <f t="shared" si="9"/>
        <v>234</v>
      </c>
      <c r="B490" s="975" t="s">
        <v>3398</v>
      </c>
      <c r="C490" s="976">
        <v>96</v>
      </c>
      <c r="D490" s="977" t="s">
        <v>3384</v>
      </c>
      <c r="E490" s="978">
        <f>'Update Descrip'!D3658</f>
        <v>1059.3700000000001</v>
      </c>
      <c r="F490" s="979" t="s">
        <v>3170</v>
      </c>
      <c r="G490" s="281"/>
      <c r="I490" s="281"/>
    </row>
    <row r="491" spans="1:9" ht="19.5">
      <c r="A491" s="993">
        <f t="shared" si="9"/>
        <v>235</v>
      </c>
      <c r="B491" s="975" t="s">
        <v>1090</v>
      </c>
      <c r="C491" s="976">
        <v>97</v>
      </c>
      <c r="D491" s="977" t="s">
        <v>3384</v>
      </c>
      <c r="E491" s="978">
        <f>Sheet1!B188</f>
        <v>1695.23</v>
      </c>
      <c r="F491" s="979" t="s">
        <v>3170</v>
      </c>
      <c r="G491" s="281"/>
      <c r="I491" s="281"/>
    </row>
    <row r="492" spans="1:9" ht="19.5">
      <c r="A492" s="993">
        <f t="shared" si="9"/>
        <v>236</v>
      </c>
      <c r="B492" s="975" t="s">
        <v>1091</v>
      </c>
      <c r="C492" s="976">
        <v>97</v>
      </c>
      <c r="D492" s="977" t="s">
        <v>3384</v>
      </c>
      <c r="E492" s="978">
        <f>'Update Descrip'!B3792</f>
        <v>593.95000000000005</v>
      </c>
      <c r="F492" s="979" t="s">
        <v>3170</v>
      </c>
      <c r="G492" s="281"/>
      <c r="I492" s="281"/>
    </row>
    <row r="493" spans="1:9" ht="19.5">
      <c r="A493" s="993">
        <f t="shared" si="9"/>
        <v>237</v>
      </c>
      <c r="B493" s="975" t="s">
        <v>2094</v>
      </c>
      <c r="C493" s="976">
        <v>98</v>
      </c>
      <c r="D493" s="977" t="s">
        <v>3384</v>
      </c>
      <c r="E493" s="978">
        <f>'Update Descrip'!D4184</f>
        <v>9128.24</v>
      </c>
      <c r="F493" s="990" t="s">
        <v>2938</v>
      </c>
      <c r="G493" s="281"/>
      <c r="I493" s="281"/>
    </row>
    <row r="494" spans="1:9" ht="19.5">
      <c r="A494" s="993">
        <f t="shared" si="9"/>
        <v>238</v>
      </c>
      <c r="B494" s="975" t="s">
        <v>3399</v>
      </c>
      <c r="C494" s="976">
        <v>98</v>
      </c>
      <c r="D494" s="977" t="s">
        <v>3384</v>
      </c>
      <c r="E494" s="978">
        <f>'Update Descrip'!D2491</f>
        <v>1577.56</v>
      </c>
      <c r="F494" s="979" t="s">
        <v>3170</v>
      </c>
      <c r="G494" s="281"/>
      <c r="I494" s="281"/>
    </row>
    <row r="495" spans="1:9" ht="19.5">
      <c r="A495" s="993">
        <f t="shared" si="9"/>
        <v>239</v>
      </c>
      <c r="B495" s="975" t="s">
        <v>202</v>
      </c>
      <c r="C495" s="976">
        <v>99</v>
      </c>
      <c r="D495" s="977" t="s">
        <v>3384</v>
      </c>
      <c r="E495" s="978">
        <f>Sheet1!D212</f>
        <v>19396.240000000002</v>
      </c>
      <c r="F495" s="979" t="s">
        <v>3170</v>
      </c>
      <c r="G495" s="281"/>
      <c r="I495" s="281"/>
    </row>
    <row r="496" spans="1:9" ht="21">
      <c r="A496" s="993">
        <f t="shared" si="9"/>
        <v>240</v>
      </c>
      <c r="B496" s="975" t="s">
        <v>201</v>
      </c>
      <c r="C496" s="976">
        <v>99</v>
      </c>
      <c r="D496" s="977" t="s">
        <v>3384</v>
      </c>
      <c r="E496" s="978">
        <f>Sheet1!D225</f>
        <v>6465.41</v>
      </c>
      <c r="F496" s="979" t="s">
        <v>3170</v>
      </c>
      <c r="G496" s="295"/>
      <c r="H496" s="295"/>
      <c r="I496" s="281"/>
    </row>
    <row r="497" spans="1:9" ht="33">
      <c r="A497" s="993">
        <f t="shared" si="9"/>
        <v>241</v>
      </c>
      <c r="B497" s="997" t="s">
        <v>2195</v>
      </c>
      <c r="C497" s="976">
        <v>99</v>
      </c>
      <c r="D497" s="977" t="s">
        <v>3384</v>
      </c>
      <c r="E497" s="978" t="e">
        <f>Sheet1!B583</f>
        <v>#REF!</v>
      </c>
      <c r="F497" s="979" t="s">
        <v>3170</v>
      </c>
      <c r="G497" s="295"/>
      <c r="H497" s="295"/>
      <c r="I497" s="281"/>
    </row>
    <row r="498" spans="1:9" ht="33">
      <c r="A498" s="993">
        <f t="shared" si="9"/>
        <v>242</v>
      </c>
      <c r="B498" s="997" t="s">
        <v>2196</v>
      </c>
      <c r="C498" s="976">
        <v>100</v>
      </c>
      <c r="D498" s="977" t="s">
        <v>3384</v>
      </c>
      <c r="E498" s="978" t="e">
        <f>Sheet1!B596</f>
        <v>#REF!</v>
      </c>
      <c r="F498" s="979" t="s">
        <v>3170</v>
      </c>
      <c r="G498" s="295"/>
      <c r="H498" s="295"/>
      <c r="I498" s="281"/>
    </row>
    <row r="499" spans="1:9" ht="36" customHeight="1">
      <c r="A499" s="993">
        <f t="shared" si="9"/>
        <v>243</v>
      </c>
      <c r="B499" s="997" t="s">
        <v>2197</v>
      </c>
      <c r="C499" s="976">
        <v>100</v>
      </c>
      <c r="D499" s="977" t="s">
        <v>3384</v>
      </c>
      <c r="E499" s="978" t="e">
        <f>Sheet1!B609</f>
        <v>#REF!</v>
      </c>
      <c r="F499" s="979" t="s">
        <v>3170</v>
      </c>
      <c r="G499" s="295"/>
      <c r="H499" s="295"/>
      <c r="I499" s="281"/>
    </row>
    <row r="500" spans="1:9" ht="36" customHeight="1">
      <c r="A500" s="993">
        <f t="shared" si="9"/>
        <v>244</v>
      </c>
      <c r="B500" s="997" t="s">
        <v>2672</v>
      </c>
      <c r="C500" s="976">
        <v>100</v>
      </c>
      <c r="D500" s="977" t="s">
        <v>3384</v>
      </c>
      <c r="E500" s="978" t="e">
        <f>Sheet1!B621</f>
        <v>#REF!</v>
      </c>
      <c r="F500" s="979" t="s">
        <v>3170</v>
      </c>
      <c r="G500" s="295"/>
      <c r="H500" s="295"/>
      <c r="I500" s="281"/>
    </row>
    <row r="501" spans="1:9" ht="33">
      <c r="A501" s="993">
        <f t="shared" si="9"/>
        <v>245</v>
      </c>
      <c r="B501" s="997" t="s">
        <v>3410</v>
      </c>
      <c r="C501" s="976">
        <v>101</v>
      </c>
      <c r="D501" s="977" t="s">
        <v>3384</v>
      </c>
      <c r="E501" s="978" t="e">
        <f>Sheet1!B633</f>
        <v>#REF!</v>
      </c>
      <c r="F501" s="979" t="s">
        <v>3170</v>
      </c>
      <c r="G501" s="295"/>
      <c r="H501" s="295"/>
      <c r="I501" s="281"/>
    </row>
    <row r="502" spans="1:9" ht="33">
      <c r="A502" s="993">
        <f t="shared" si="9"/>
        <v>246</v>
      </c>
      <c r="B502" s="997" t="s">
        <v>3411</v>
      </c>
      <c r="C502" s="976">
        <v>101</v>
      </c>
      <c r="D502" s="977" t="s">
        <v>3384</v>
      </c>
      <c r="E502" s="978" t="e">
        <f>Sheet1!B646</f>
        <v>#REF!</v>
      </c>
      <c r="F502" s="979" t="s">
        <v>3170</v>
      </c>
      <c r="G502" s="295"/>
      <c r="H502" s="295"/>
      <c r="I502" s="281"/>
    </row>
    <row r="503" spans="1:9" ht="33">
      <c r="A503" s="993">
        <f t="shared" ref="A503:A512" si="10">A502+1</f>
        <v>247</v>
      </c>
      <c r="B503" s="997" t="s">
        <v>3412</v>
      </c>
      <c r="C503" s="976">
        <v>101</v>
      </c>
      <c r="D503" s="977" t="s">
        <v>3384</v>
      </c>
      <c r="E503" s="978">
        <f>Sheet1!B242</f>
        <v>1734.2</v>
      </c>
      <c r="F503" s="979" t="s">
        <v>3170</v>
      </c>
      <c r="G503" s="295"/>
      <c r="H503" s="295"/>
      <c r="I503" s="281"/>
    </row>
    <row r="504" spans="1:9" ht="33">
      <c r="A504" s="993">
        <f t="shared" si="10"/>
        <v>248</v>
      </c>
      <c r="B504" s="997" t="s">
        <v>1842</v>
      </c>
      <c r="C504" s="976">
        <v>102</v>
      </c>
      <c r="D504" s="977" t="s">
        <v>3384</v>
      </c>
      <c r="E504" s="978">
        <f>Sheet1!B256</f>
        <v>1342.5700000000002</v>
      </c>
      <c r="F504" s="979" t="s">
        <v>3170</v>
      </c>
      <c r="G504" s="295"/>
      <c r="H504" s="295"/>
      <c r="I504" s="281"/>
    </row>
    <row r="505" spans="1:9" ht="54">
      <c r="A505" s="998">
        <f t="shared" si="10"/>
        <v>249</v>
      </c>
      <c r="B505" s="999" t="s">
        <v>2235</v>
      </c>
      <c r="C505" s="1000" t="s">
        <v>299</v>
      </c>
      <c r="D505" s="977" t="s">
        <v>3384</v>
      </c>
      <c r="E505" s="978">
        <f>'Update Descrip'!D1870</f>
        <v>5932.55</v>
      </c>
      <c r="F505" s="979" t="s">
        <v>3170</v>
      </c>
      <c r="G505" s="295"/>
      <c r="H505" s="295"/>
      <c r="I505" s="281"/>
    </row>
    <row r="506" spans="1:9" ht="54">
      <c r="A506" s="998">
        <f t="shared" si="10"/>
        <v>250</v>
      </c>
      <c r="B506" s="1001" t="s">
        <v>2236</v>
      </c>
      <c r="C506" s="984">
        <v>103</v>
      </c>
      <c r="D506" s="977" t="s">
        <v>3384</v>
      </c>
      <c r="E506" s="978">
        <f>'Update Descrip'!D1893</f>
        <v>6380.74</v>
      </c>
      <c r="F506" s="979" t="s">
        <v>3170</v>
      </c>
      <c r="G506" s="295"/>
      <c r="H506" s="295"/>
      <c r="I506" s="281"/>
    </row>
    <row r="507" spans="1:9" ht="54">
      <c r="A507" s="993">
        <f t="shared" si="10"/>
        <v>251</v>
      </c>
      <c r="B507" s="1001" t="s">
        <v>3241</v>
      </c>
      <c r="C507" s="1000" t="s">
        <v>300</v>
      </c>
      <c r="D507" s="977" t="s">
        <v>3384</v>
      </c>
      <c r="E507" s="978">
        <f>'Update Descrip'!D1912</f>
        <v>6073.85</v>
      </c>
      <c r="F507" s="979" t="s">
        <v>3170</v>
      </c>
      <c r="G507" s="296"/>
      <c r="H507" s="296"/>
      <c r="I507" s="281"/>
    </row>
    <row r="508" spans="1:9" ht="39">
      <c r="A508" s="993">
        <f t="shared" si="10"/>
        <v>252</v>
      </c>
      <c r="B508" s="1002" t="s">
        <v>1034</v>
      </c>
      <c r="C508" s="984">
        <v>104</v>
      </c>
      <c r="D508" s="977" t="s">
        <v>3384</v>
      </c>
      <c r="E508" s="978">
        <f>'Update Descrip'!D1934</f>
        <v>3955.81</v>
      </c>
      <c r="F508" s="979" t="s">
        <v>3170</v>
      </c>
      <c r="G508" s="297"/>
      <c r="H508" s="297"/>
      <c r="I508" s="281"/>
    </row>
    <row r="509" spans="1:9" ht="39">
      <c r="A509" s="993">
        <f t="shared" si="10"/>
        <v>253</v>
      </c>
      <c r="B509" s="1002" t="s">
        <v>221</v>
      </c>
      <c r="C509" s="984">
        <v>104</v>
      </c>
      <c r="D509" s="977" t="s">
        <v>3384</v>
      </c>
      <c r="E509" s="978">
        <f>'Update Descrip'!D1951</f>
        <v>4868.01</v>
      </c>
      <c r="F509" s="979" t="s">
        <v>3170</v>
      </c>
      <c r="G509" s="303"/>
      <c r="H509" s="303"/>
      <c r="I509" s="281"/>
    </row>
    <row r="510" spans="1:9" ht="39">
      <c r="A510" s="993">
        <f t="shared" si="10"/>
        <v>254</v>
      </c>
      <c r="B510" s="1002" t="s">
        <v>2226</v>
      </c>
      <c r="C510" s="984">
        <v>105</v>
      </c>
      <c r="D510" s="977" t="s">
        <v>3384</v>
      </c>
      <c r="E510" s="978">
        <f>'Update Descrip'!D1972</f>
        <v>4261.6899999999996</v>
      </c>
      <c r="F510" s="979" t="s">
        <v>3170</v>
      </c>
      <c r="G510" s="303"/>
      <c r="H510" s="303"/>
    </row>
    <row r="511" spans="1:9" ht="24" customHeight="1">
      <c r="A511" s="993">
        <f t="shared" si="10"/>
        <v>255</v>
      </c>
      <c r="B511" s="1002" t="s">
        <v>2227</v>
      </c>
      <c r="C511" s="984">
        <v>105</v>
      </c>
      <c r="D511" s="977" t="s">
        <v>3384</v>
      </c>
      <c r="E511" s="978">
        <f>'Update Descrip'!D1989</f>
        <v>4942.26</v>
      </c>
      <c r="F511" s="979" t="s">
        <v>3170</v>
      </c>
      <c r="G511" s="304"/>
      <c r="H511" s="304"/>
    </row>
    <row r="512" spans="1:9" ht="27" customHeight="1">
      <c r="A512" s="993">
        <f t="shared" si="10"/>
        <v>256</v>
      </c>
      <c r="B512" s="1003" t="s">
        <v>3443</v>
      </c>
      <c r="C512" s="984">
        <v>106</v>
      </c>
      <c r="D512" s="977" t="s">
        <v>3384</v>
      </c>
      <c r="E512" s="978">
        <f>'Update Descrip'!B2006</f>
        <v>289.14</v>
      </c>
      <c r="F512" s="979" t="s">
        <v>3170</v>
      </c>
      <c r="G512" s="304"/>
      <c r="H512" s="304"/>
    </row>
    <row r="513" spans="1:8" ht="19.5">
      <c r="A513" s="993">
        <f t="shared" ref="A513:A526" si="11">A512+1</f>
        <v>257</v>
      </c>
      <c r="B513" s="1003" t="s">
        <v>3444</v>
      </c>
      <c r="C513" s="984">
        <v>106</v>
      </c>
      <c r="D513" s="977" t="s">
        <v>3384</v>
      </c>
      <c r="E513" s="978">
        <f>'Update Descrip'!B2021</f>
        <v>910.37</v>
      </c>
      <c r="F513" s="979" t="s">
        <v>3170</v>
      </c>
      <c r="G513" s="305"/>
      <c r="H513" s="305"/>
    </row>
    <row r="514" spans="1:8" ht="72">
      <c r="A514" s="993">
        <f t="shared" si="11"/>
        <v>258</v>
      </c>
      <c r="B514" s="1003" t="s">
        <v>3445</v>
      </c>
      <c r="C514" s="984">
        <v>107</v>
      </c>
      <c r="D514" s="977" t="s">
        <v>3384</v>
      </c>
      <c r="E514" s="978">
        <f>'Update Descrip'!D4465</f>
        <v>3063.5317594154017</v>
      </c>
      <c r="F514" s="979" t="s">
        <v>3170</v>
      </c>
      <c r="G514" s="303"/>
      <c r="H514" s="303"/>
    </row>
    <row r="515" spans="1:8" ht="72">
      <c r="A515" s="993">
        <f t="shared" si="11"/>
        <v>259</v>
      </c>
      <c r="B515" s="1003" t="s">
        <v>3446</v>
      </c>
      <c r="C515" s="984">
        <v>107</v>
      </c>
      <c r="D515" s="977" t="s">
        <v>3384</v>
      </c>
      <c r="E515" s="978">
        <f>'Update Descrip'!D4483</f>
        <v>3421.9831365935916</v>
      </c>
      <c r="F515" s="979" t="s">
        <v>3170</v>
      </c>
      <c r="G515" s="307"/>
      <c r="H515" s="307"/>
    </row>
    <row r="516" spans="1:8" ht="54">
      <c r="A516" s="998">
        <f t="shared" si="11"/>
        <v>260</v>
      </c>
      <c r="B516" s="1003" t="s">
        <v>295</v>
      </c>
      <c r="C516" s="984">
        <v>108</v>
      </c>
      <c r="D516" s="977" t="s">
        <v>3384</v>
      </c>
      <c r="E516" s="978">
        <f>'Update Descrip'!D4155</f>
        <v>2347.06</v>
      </c>
      <c r="F516" s="979" t="s">
        <v>3170</v>
      </c>
      <c r="G516" s="306"/>
      <c r="H516" s="306"/>
    </row>
    <row r="517" spans="1:8" ht="72">
      <c r="A517" s="998">
        <f t="shared" si="11"/>
        <v>261</v>
      </c>
      <c r="B517" s="1003" t="s">
        <v>296</v>
      </c>
      <c r="C517" s="984">
        <v>108</v>
      </c>
      <c r="D517" s="977" t="s">
        <v>3384</v>
      </c>
      <c r="E517" s="978">
        <f>'Update Descrip'!D4310</f>
        <v>0</v>
      </c>
      <c r="F517" s="979" t="s">
        <v>3170</v>
      </c>
      <c r="G517" s="305"/>
      <c r="H517" s="305"/>
    </row>
    <row r="518" spans="1:8" ht="21" customHeight="1">
      <c r="A518" s="998">
        <f t="shared" si="11"/>
        <v>262</v>
      </c>
      <c r="B518" s="1004" t="s">
        <v>297</v>
      </c>
      <c r="C518" s="984">
        <v>109</v>
      </c>
      <c r="D518" s="977" t="s">
        <v>3384</v>
      </c>
      <c r="E518" s="988">
        <f>Sheet1!D274</f>
        <v>194.12</v>
      </c>
      <c r="F518" s="979" t="s">
        <v>3170</v>
      </c>
      <c r="G518" s="305"/>
      <c r="H518" s="305"/>
    </row>
    <row r="519" spans="1:8" ht="36">
      <c r="A519" s="998">
        <f t="shared" si="11"/>
        <v>263</v>
      </c>
      <c r="B519" s="1003" t="s">
        <v>298</v>
      </c>
      <c r="C519" s="984">
        <v>109</v>
      </c>
      <c r="D519" s="977" t="s">
        <v>3384</v>
      </c>
      <c r="E519" s="988">
        <f>'Update Descrip'!D3557</f>
        <v>106.3</v>
      </c>
      <c r="F519" s="979" t="s">
        <v>3170</v>
      </c>
      <c r="G519" s="305"/>
      <c r="H519" s="305"/>
    </row>
    <row r="520" spans="1:8" ht="36">
      <c r="A520" s="998">
        <f t="shared" si="11"/>
        <v>264</v>
      </c>
      <c r="B520" s="1005" t="s">
        <v>14</v>
      </c>
      <c r="C520" s="984">
        <v>109</v>
      </c>
      <c r="D520" s="977" t="s">
        <v>3384</v>
      </c>
      <c r="E520" s="988">
        <f>Sheet1!D294</f>
        <v>2035.48</v>
      </c>
      <c r="F520" s="979" t="s">
        <v>3170</v>
      </c>
      <c r="G520" s="305"/>
      <c r="H520" s="305"/>
    </row>
    <row r="521" spans="1:8" ht="34.5" customHeight="1">
      <c r="A521" s="998">
        <f t="shared" si="11"/>
        <v>265</v>
      </c>
      <c r="B521" s="1003" t="s">
        <v>2983</v>
      </c>
      <c r="C521" s="984">
        <v>110</v>
      </c>
      <c r="D521" s="977" t="s">
        <v>3384</v>
      </c>
      <c r="E521" s="988">
        <f>'Update Descrip'!D2558</f>
        <v>4798.6000000000004</v>
      </c>
      <c r="F521" s="979" t="s">
        <v>3170</v>
      </c>
      <c r="G521" s="305"/>
      <c r="H521" s="305"/>
    </row>
    <row r="522" spans="1:8" ht="39.75" customHeight="1">
      <c r="A522" s="998">
        <f t="shared" si="11"/>
        <v>266</v>
      </c>
      <c r="B522" s="1004" t="s">
        <v>2984</v>
      </c>
      <c r="C522" s="984">
        <v>110</v>
      </c>
      <c r="D522" s="977" t="s">
        <v>3384</v>
      </c>
      <c r="E522" s="988">
        <f>Sheet1!D306</f>
        <v>66.7</v>
      </c>
      <c r="F522" s="979" t="s">
        <v>3170</v>
      </c>
      <c r="G522" s="305"/>
      <c r="H522" s="305"/>
    </row>
    <row r="523" spans="1:8" ht="39.75" customHeight="1">
      <c r="A523" s="993">
        <f t="shared" si="11"/>
        <v>267</v>
      </c>
      <c r="B523" s="1003" t="s">
        <v>2985</v>
      </c>
      <c r="C523" s="984">
        <v>110</v>
      </c>
      <c r="D523" s="977" t="s">
        <v>3384</v>
      </c>
      <c r="E523" s="988">
        <f>Sheet1!D319</f>
        <v>929.52</v>
      </c>
      <c r="F523" s="979" t="s">
        <v>3170</v>
      </c>
      <c r="G523" s="305"/>
      <c r="H523" s="305"/>
    </row>
    <row r="524" spans="1:8" ht="54.75" customHeight="1">
      <c r="A524" s="998">
        <f t="shared" si="11"/>
        <v>268</v>
      </c>
      <c r="B524" s="1003" t="s">
        <v>1886</v>
      </c>
      <c r="C524" s="984">
        <v>111</v>
      </c>
      <c r="D524" s="977" t="s">
        <v>3384</v>
      </c>
      <c r="E524" s="988">
        <f>Sheet1!D331</f>
        <v>6054.56</v>
      </c>
      <c r="F524" s="979" t="s">
        <v>3170</v>
      </c>
      <c r="G524" s="305"/>
      <c r="H524" s="305"/>
    </row>
    <row r="525" spans="1:8" ht="47.25">
      <c r="A525" s="998">
        <f t="shared" si="11"/>
        <v>269</v>
      </c>
      <c r="B525" s="1006" t="s">
        <v>2986</v>
      </c>
      <c r="C525" s="984">
        <v>111</v>
      </c>
      <c r="D525" s="977" t="s">
        <v>3384</v>
      </c>
      <c r="E525" s="988" t="e">
        <f>'Update Descrip'!#REF!</f>
        <v>#REF!</v>
      </c>
      <c r="F525" s="979" t="s">
        <v>3170</v>
      </c>
      <c r="G525" s="305"/>
      <c r="H525" s="305"/>
    </row>
    <row r="526" spans="1:8" ht="35.25" customHeight="1">
      <c r="A526" s="993">
        <f t="shared" si="11"/>
        <v>270</v>
      </c>
      <c r="B526" s="1007" t="s">
        <v>2987</v>
      </c>
      <c r="C526" s="984">
        <v>111</v>
      </c>
      <c r="D526" s="977" t="s">
        <v>3384</v>
      </c>
      <c r="E526" s="988">
        <f>Sheet1!D350</f>
        <v>2840.87</v>
      </c>
      <c r="F526" s="979" t="s">
        <v>3170</v>
      </c>
      <c r="G526" s="308"/>
      <c r="H526" s="305"/>
    </row>
    <row r="527" spans="1:8" ht="30.75" customHeight="1">
      <c r="A527" s="993">
        <f t="shared" ref="A527:A539" si="12">A526+1</f>
        <v>271</v>
      </c>
      <c r="B527" s="1008" t="s">
        <v>1056</v>
      </c>
      <c r="C527" s="984">
        <v>112</v>
      </c>
      <c r="D527" s="977" t="s">
        <v>3384</v>
      </c>
      <c r="E527" s="988">
        <f>Sheet1!D359</f>
        <v>1586.96</v>
      </c>
      <c r="F527" s="979" t="s">
        <v>3170</v>
      </c>
      <c r="G527" s="305"/>
      <c r="H527" s="305"/>
    </row>
    <row r="528" spans="1:8" ht="31.5" customHeight="1">
      <c r="A528" s="993">
        <f t="shared" si="12"/>
        <v>272</v>
      </c>
      <c r="B528" s="1008" t="s">
        <v>72</v>
      </c>
      <c r="C528" s="984">
        <v>112</v>
      </c>
      <c r="D528" s="977" t="s">
        <v>3384</v>
      </c>
      <c r="E528" s="988">
        <f>Sheet1!D369</f>
        <v>5289.88</v>
      </c>
      <c r="F528" s="979" t="s">
        <v>3170</v>
      </c>
      <c r="G528" s="305"/>
      <c r="H528" s="305"/>
    </row>
    <row r="529" spans="1:8" ht="32.25" customHeight="1">
      <c r="A529" s="993">
        <f t="shared" si="12"/>
        <v>273</v>
      </c>
      <c r="B529" s="1008" t="s">
        <v>73</v>
      </c>
      <c r="C529" s="984">
        <v>112</v>
      </c>
      <c r="D529" s="977" t="s">
        <v>3384</v>
      </c>
      <c r="E529" s="988">
        <f>'Update Descrip'!D3568</f>
        <v>1051.79</v>
      </c>
      <c r="F529" s="979" t="s">
        <v>3170</v>
      </c>
      <c r="G529" s="305"/>
      <c r="H529" s="305"/>
    </row>
    <row r="530" spans="1:8" ht="32.25" customHeight="1">
      <c r="A530" s="993">
        <f t="shared" si="12"/>
        <v>274</v>
      </c>
      <c r="B530" s="1008" t="s">
        <v>74</v>
      </c>
      <c r="C530" s="984">
        <v>112</v>
      </c>
      <c r="D530" s="977" t="s">
        <v>3384</v>
      </c>
      <c r="E530" s="988">
        <f>'Update Descrip'!D3580</f>
        <v>1299.27</v>
      </c>
      <c r="F530" s="979" t="s">
        <v>3170</v>
      </c>
      <c r="G530" s="305"/>
      <c r="H530" s="305"/>
    </row>
    <row r="531" spans="1:8" ht="25.5">
      <c r="A531" s="993">
        <f t="shared" si="12"/>
        <v>275</v>
      </c>
      <c r="B531" s="1008" t="s">
        <v>75</v>
      </c>
      <c r="C531" s="984">
        <v>113</v>
      </c>
      <c r="D531" s="977" t="s">
        <v>3384</v>
      </c>
      <c r="E531" s="988">
        <f>'Update Descrip'!D3590</f>
        <v>1670.49</v>
      </c>
      <c r="F531" s="979" t="s">
        <v>3170</v>
      </c>
      <c r="G531" s="305"/>
      <c r="H531" s="305"/>
    </row>
    <row r="532" spans="1:8" ht="25.5">
      <c r="A532" s="993">
        <f t="shared" si="12"/>
        <v>276</v>
      </c>
      <c r="B532" s="1008" t="s">
        <v>76</v>
      </c>
      <c r="C532" s="984">
        <v>113</v>
      </c>
      <c r="D532" s="977" t="s">
        <v>3384</v>
      </c>
      <c r="E532" s="988">
        <f>'Update Descrip'!D3603</f>
        <v>1051.79</v>
      </c>
      <c r="F532" s="979" t="s">
        <v>3170</v>
      </c>
      <c r="G532" s="305"/>
      <c r="H532" s="305"/>
    </row>
    <row r="533" spans="1:8" ht="25.5">
      <c r="A533" s="993">
        <f t="shared" si="12"/>
        <v>277</v>
      </c>
      <c r="B533" s="1008" t="s">
        <v>77</v>
      </c>
      <c r="C533" s="984">
        <v>113</v>
      </c>
      <c r="D533" s="977" t="s">
        <v>3384</v>
      </c>
      <c r="E533" s="988">
        <f>'Update Descrip'!D3613</f>
        <v>272.22000000000003</v>
      </c>
      <c r="F533" s="979" t="s">
        <v>3170</v>
      </c>
    </row>
    <row r="534" spans="1:8" ht="25.5">
      <c r="A534" s="993">
        <f t="shared" si="12"/>
        <v>278</v>
      </c>
      <c r="B534" s="1008" t="s">
        <v>2468</v>
      </c>
      <c r="C534" s="984">
        <v>113</v>
      </c>
      <c r="D534" s="977" t="s">
        <v>3384</v>
      </c>
      <c r="E534" s="988">
        <f>Sheet1!D380</f>
        <v>3078.03</v>
      </c>
      <c r="F534" s="979" t="s">
        <v>3170</v>
      </c>
    </row>
    <row r="535" spans="1:8" ht="25.5">
      <c r="A535" s="993">
        <f t="shared" si="12"/>
        <v>279</v>
      </c>
      <c r="B535" s="1008" t="s">
        <v>78</v>
      </c>
      <c r="C535" s="984">
        <v>114</v>
      </c>
      <c r="D535" s="977" t="s">
        <v>3384</v>
      </c>
      <c r="E535" s="988">
        <f>Sheet1!D391</f>
        <v>2345.61</v>
      </c>
      <c r="F535" s="979" t="s">
        <v>3170</v>
      </c>
    </row>
    <row r="536" spans="1:8" ht="25.5">
      <c r="A536" s="993">
        <f t="shared" si="12"/>
        <v>280</v>
      </c>
      <c r="B536" s="1008" t="s">
        <v>79</v>
      </c>
      <c r="C536" s="984">
        <v>114</v>
      </c>
      <c r="D536" s="977" t="s">
        <v>3384</v>
      </c>
      <c r="E536" s="988">
        <f>Sheet1!D402</f>
        <v>1948.16</v>
      </c>
      <c r="F536" s="979" t="s">
        <v>3170</v>
      </c>
    </row>
    <row r="537" spans="1:8" ht="26.25" customHeight="1">
      <c r="A537" s="993">
        <f t="shared" si="12"/>
        <v>281</v>
      </c>
      <c r="B537" s="1008" t="s">
        <v>80</v>
      </c>
      <c r="C537" s="984">
        <v>114</v>
      </c>
      <c r="D537" s="977" t="s">
        <v>3384</v>
      </c>
      <c r="E537" s="988">
        <f>Sheet1!D412</f>
        <v>2067.0700000000002</v>
      </c>
      <c r="F537" s="979" t="s">
        <v>3170</v>
      </c>
    </row>
    <row r="538" spans="1:8" ht="38.25">
      <c r="A538" s="993">
        <f t="shared" si="12"/>
        <v>282</v>
      </c>
      <c r="B538" s="1008" t="s">
        <v>81</v>
      </c>
      <c r="C538" s="984">
        <v>115</v>
      </c>
      <c r="D538" s="977" t="s">
        <v>3384</v>
      </c>
      <c r="E538" s="988">
        <f>Sheet1!D422</f>
        <v>395.96</v>
      </c>
      <c r="F538" s="979" t="s">
        <v>3170</v>
      </c>
    </row>
    <row r="539" spans="1:8" ht="25.5">
      <c r="A539" s="993">
        <f t="shared" si="12"/>
        <v>283</v>
      </c>
      <c r="B539" s="1008" t="s">
        <v>1032</v>
      </c>
      <c r="C539" s="984">
        <v>115</v>
      </c>
      <c r="D539" s="977" t="s">
        <v>3384</v>
      </c>
      <c r="E539" s="988">
        <f>'Update Descrip'!D3625</f>
        <v>482.58</v>
      </c>
      <c r="F539" s="979" t="s">
        <v>3170</v>
      </c>
    </row>
    <row r="540" spans="1:8" ht="18">
      <c r="A540" s="993">
        <f>A539+1</f>
        <v>284</v>
      </c>
      <c r="B540" s="1009" t="s">
        <v>1033</v>
      </c>
      <c r="C540" s="984">
        <v>115</v>
      </c>
      <c r="D540" s="977" t="s">
        <v>3384</v>
      </c>
      <c r="E540" s="988">
        <f>'Update Descrip'!D2508</f>
        <v>1583.38</v>
      </c>
      <c r="F540" s="979" t="s">
        <v>3170</v>
      </c>
    </row>
    <row r="541" spans="1:8" ht="15">
      <c r="A541" s="993">
        <f>A540+1</f>
        <v>285</v>
      </c>
      <c r="B541" s="1008" t="s">
        <v>82</v>
      </c>
      <c r="C541" s="984">
        <v>116</v>
      </c>
      <c r="D541" s="977" t="s">
        <v>3384</v>
      </c>
      <c r="E541" s="988">
        <f>'Update Descrip'!D2525</f>
        <v>1643.8500000000001</v>
      </c>
      <c r="F541" s="979" t="s">
        <v>3170</v>
      </c>
    </row>
    <row r="542" spans="1:8" ht="15.75" customHeight="1">
      <c r="A542" s="993">
        <f>A541+1</f>
        <v>286</v>
      </c>
      <c r="B542" s="1010" t="s">
        <v>83</v>
      </c>
      <c r="C542" s="984">
        <v>116</v>
      </c>
      <c r="D542" s="977" t="s">
        <v>3384</v>
      </c>
      <c r="E542" s="978">
        <f>'Update Descrip'!D2538</f>
        <v>1616.6200000000001</v>
      </c>
      <c r="F542" s="979" t="s">
        <v>3170</v>
      </c>
    </row>
    <row r="543" spans="1:8" ht="40.5" customHeight="1">
      <c r="A543" s="998"/>
      <c r="B543" s="1011" t="s">
        <v>69</v>
      </c>
      <c r="C543" s="987"/>
      <c r="D543" s="977"/>
      <c r="E543" s="978"/>
      <c r="F543" s="979"/>
    </row>
    <row r="544" spans="1:8" ht="51">
      <c r="A544" s="1012"/>
      <c r="B544" s="1013" t="s">
        <v>1974</v>
      </c>
      <c r="C544" s="1012"/>
      <c r="D544" s="973"/>
      <c r="E544" s="974"/>
      <c r="F544" s="973"/>
    </row>
    <row r="545" spans="1:6" ht="15">
      <c r="A545" s="998">
        <f>A542+1</f>
        <v>287</v>
      </c>
      <c r="B545" s="1014" t="s">
        <v>2493</v>
      </c>
      <c r="C545" s="987">
        <v>117</v>
      </c>
      <c r="D545" s="977" t="s">
        <v>3384</v>
      </c>
      <c r="E545" s="974">
        <f>'Update Descrip'!B4693</f>
        <v>8366.25</v>
      </c>
      <c r="F545" s="979" t="s">
        <v>3170</v>
      </c>
    </row>
    <row r="546" spans="1:6" ht="26.25">
      <c r="A546" s="998">
        <f>A545+1</f>
        <v>288</v>
      </c>
      <c r="B546" s="1014" t="s">
        <v>2020</v>
      </c>
      <c r="C546" s="987">
        <v>117</v>
      </c>
      <c r="D546" s="977" t="s">
        <v>3384</v>
      </c>
      <c r="E546" s="974" t="e">
        <f>'Update Descrip'!#REF!</f>
        <v>#REF!</v>
      </c>
      <c r="F546" s="979" t="s">
        <v>3170</v>
      </c>
    </row>
    <row r="547" spans="1:6" ht="26.25">
      <c r="A547" s="998">
        <f t="shared" ref="A547:A565" si="13">A546+1</f>
        <v>289</v>
      </c>
      <c r="B547" s="1014" t="s">
        <v>2021</v>
      </c>
      <c r="C547" s="987">
        <v>118</v>
      </c>
      <c r="D547" s="977" t="s">
        <v>3384</v>
      </c>
      <c r="E547" s="974">
        <f>'Update Descrip'!B4703</f>
        <v>9171.25</v>
      </c>
      <c r="F547" s="979" t="s">
        <v>3170</v>
      </c>
    </row>
    <row r="548" spans="1:6" ht="26.25">
      <c r="A548" s="998">
        <f t="shared" si="13"/>
        <v>290</v>
      </c>
      <c r="B548" s="1014" t="s">
        <v>2022</v>
      </c>
      <c r="C548" s="987">
        <v>118</v>
      </c>
      <c r="D548" s="977" t="s">
        <v>3384</v>
      </c>
      <c r="E548" s="974">
        <f>'Update Descrip'!B4714</f>
        <v>9297.75</v>
      </c>
      <c r="F548" s="979" t="s">
        <v>3170</v>
      </c>
    </row>
    <row r="549" spans="1:6" ht="28.5" customHeight="1">
      <c r="A549" s="998">
        <f t="shared" si="13"/>
        <v>291</v>
      </c>
      <c r="B549" s="1014" t="s">
        <v>2565</v>
      </c>
      <c r="C549" s="987">
        <v>119</v>
      </c>
      <c r="D549" s="977" t="s">
        <v>3384</v>
      </c>
      <c r="E549" s="974">
        <f>'Update Descrip'!B4725</f>
        <v>11558.65</v>
      </c>
      <c r="F549" s="979" t="s">
        <v>3170</v>
      </c>
    </row>
    <row r="550" spans="1:6" ht="29.25" customHeight="1">
      <c r="A550" s="998">
        <f t="shared" si="13"/>
        <v>292</v>
      </c>
      <c r="B550" s="1014" t="s">
        <v>2566</v>
      </c>
      <c r="C550" s="987">
        <v>119</v>
      </c>
      <c r="D550" s="977" t="s">
        <v>3384</v>
      </c>
      <c r="E550" s="974">
        <f>'Update Descrip'!B4739</f>
        <v>7510.65</v>
      </c>
      <c r="F550" s="979" t="s">
        <v>3170</v>
      </c>
    </row>
    <row r="551" spans="1:6" ht="26.25">
      <c r="A551" s="998">
        <f t="shared" si="13"/>
        <v>293</v>
      </c>
      <c r="B551" s="1014" t="s">
        <v>2567</v>
      </c>
      <c r="C551" s="987">
        <v>120</v>
      </c>
      <c r="D551" s="977" t="s">
        <v>3384</v>
      </c>
      <c r="E551" s="974">
        <f>'Update Descrip'!B4750</f>
        <v>8055.75</v>
      </c>
      <c r="F551" s="979" t="s">
        <v>3170</v>
      </c>
    </row>
    <row r="552" spans="1:6" ht="26.25">
      <c r="A552" s="998">
        <f t="shared" si="13"/>
        <v>294</v>
      </c>
      <c r="B552" s="1014" t="s">
        <v>2568</v>
      </c>
      <c r="C552" s="987">
        <v>120</v>
      </c>
      <c r="D552" s="977" t="s">
        <v>3384</v>
      </c>
      <c r="E552" s="974">
        <f>'Update Descrip'!B4762</f>
        <v>7440.5</v>
      </c>
      <c r="F552" s="979" t="s">
        <v>3170</v>
      </c>
    </row>
    <row r="553" spans="1:6" ht="15">
      <c r="A553" s="998">
        <f t="shared" si="13"/>
        <v>295</v>
      </c>
      <c r="B553" s="1014" t="s">
        <v>2569</v>
      </c>
      <c r="C553" s="987">
        <v>121</v>
      </c>
      <c r="D553" s="977" t="s">
        <v>3384</v>
      </c>
      <c r="E553" s="974">
        <f>'Update Descrip'!B4773</f>
        <v>9918.75</v>
      </c>
      <c r="F553" s="979" t="s">
        <v>3170</v>
      </c>
    </row>
    <row r="554" spans="1:6" ht="15">
      <c r="A554" s="998">
        <f t="shared" si="13"/>
        <v>296</v>
      </c>
      <c r="B554" s="1014" t="s">
        <v>2570</v>
      </c>
      <c r="C554" s="987">
        <v>121</v>
      </c>
      <c r="D554" s="977" t="s">
        <v>3384</v>
      </c>
      <c r="E554" s="974">
        <f>'Update Descrip'!B4785</f>
        <v>9608.25</v>
      </c>
      <c r="F554" s="979" t="s">
        <v>3170</v>
      </c>
    </row>
    <row r="555" spans="1:6" ht="15">
      <c r="A555" s="998">
        <f t="shared" si="13"/>
        <v>297</v>
      </c>
      <c r="B555" s="1014" t="s">
        <v>2571</v>
      </c>
      <c r="C555" s="987">
        <v>121</v>
      </c>
      <c r="D555" s="977" t="s">
        <v>3384</v>
      </c>
      <c r="E555" s="974">
        <f>'Update Descrip'!B4795</f>
        <v>9297.75</v>
      </c>
      <c r="F555" s="979" t="s">
        <v>3170</v>
      </c>
    </row>
    <row r="556" spans="1:6" ht="25.5">
      <c r="A556" s="998">
        <f t="shared" si="13"/>
        <v>298</v>
      </c>
      <c r="B556" s="1015" t="s">
        <v>2789</v>
      </c>
      <c r="C556" s="987">
        <v>122</v>
      </c>
      <c r="D556" s="977" t="s">
        <v>3384</v>
      </c>
      <c r="E556" s="1016">
        <f>Sheet1!B454</f>
        <v>3835.94</v>
      </c>
      <c r="F556" s="979" t="s">
        <v>3170</v>
      </c>
    </row>
    <row r="557" spans="1:6" ht="25.5">
      <c r="A557" s="998">
        <f t="shared" si="13"/>
        <v>299</v>
      </c>
      <c r="B557" s="1015" t="s">
        <v>2791</v>
      </c>
      <c r="C557" s="987">
        <v>122</v>
      </c>
      <c r="D557" s="977" t="s">
        <v>3384</v>
      </c>
      <c r="E557" s="1016">
        <f>Sheet1!B471</f>
        <v>4071.04</v>
      </c>
      <c r="F557" s="979" t="s">
        <v>3170</v>
      </c>
    </row>
    <row r="558" spans="1:6" ht="25.5">
      <c r="A558" s="998">
        <f t="shared" si="13"/>
        <v>300</v>
      </c>
      <c r="B558" s="1015" t="s">
        <v>2793</v>
      </c>
      <c r="C558" s="987">
        <v>123</v>
      </c>
      <c r="D558" s="977" t="s">
        <v>3384</v>
      </c>
      <c r="E558" s="1016">
        <f>Sheet1!B503</f>
        <v>4330.8999999999996</v>
      </c>
      <c r="F558" s="979" t="s">
        <v>3170</v>
      </c>
    </row>
    <row r="559" spans="1:6" ht="25.5">
      <c r="A559" s="998">
        <f t="shared" si="13"/>
        <v>301</v>
      </c>
      <c r="B559" s="1015" t="s">
        <v>2795</v>
      </c>
      <c r="C559" s="987">
        <v>123</v>
      </c>
      <c r="D559" s="977" t="s">
        <v>3384</v>
      </c>
      <c r="E559" s="1016">
        <f>Sheet1!B520</f>
        <v>4330.8999999999996</v>
      </c>
      <c r="F559" s="979" t="s">
        <v>3170</v>
      </c>
    </row>
    <row r="560" spans="1:6" ht="25.5">
      <c r="A560" s="998">
        <f t="shared" si="13"/>
        <v>302</v>
      </c>
      <c r="B560" s="1015" t="s">
        <v>2557</v>
      </c>
      <c r="C560" s="987">
        <v>124</v>
      </c>
      <c r="D560" s="977" t="s">
        <v>3384</v>
      </c>
      <c r="E560" s="1016">
        <f>Sheet1!B552</f>
        <v>4603.12</v>
      </c>
      <c r="F560" s="979" t="s">
        <v>3170</v>
      </c>
    </row>
    <row r="561" spans="1:6" ht="25.5">
      <c r="A561" s="998">
        <f t="shared" si="13"/>
        <v>303</v>
      </c>
      <c r="B561" s="1015" t="s">
        <v>2559</v>
      </c>
      <c r="C561" s="987">
        <v>124</v>
      </c>
      <c r="D561" s="977" t="s">
        <v>3384</v>
      </c>
      <c r="E561" s="1016">
        <f>Sheet1!B569</f>
        <v>5147.58</v>
      </c>
      <c r="F561" s="979" t="s">
        <v>3170</v>
      </c>
    </row>
    <row r="562" spans="1:6" ht="25.5">
      <c r="A562" s="998">
        <f t="shared" si="13"/>
        <v>304</v>
      </c>
      <c r="B562" s="1015" t="s">
        <v>2561</v>
      </c>
      <c r="C562" s="987">
        <v>125</v>
      </c>
      <c r="D562" s="977" t="s">
        <v>3384</v>
      </c>
      <c r="E562" s="1016">
        <f>Sheet1!B674</f>
        <v>4677.37</v>
      </c>
      <c r="F562" s="979" t="s">
        <v>3170</v>
      </c>
    </row>
    <row r="563" spans="1:6" ht="25.5">
      <c r="A563" s="998">
        <f t="shared" si="13"/>
        <v>305</v>
      </c>
      <c r="B563" s="1015" t="s">
        <v>2562</v>
      </c>
      <c r="C563" s="987">
        <v>125</v>
      </c>
      <c r="D563" s="977" t="s">
        <v>3384</v>
      </c>
      <c r="E563" s="1016">
        <f>Sheet1!B691</f>
        <v>4912.47</v>
      </c>
      <c r="F563" s="979" t="s">
        <v>3170</v>
      </c>
    </row>
    <row r="564" spans="1:6" ht="25.5">
      <c r="A564" s="998">
        <f t="shared" si="13"/>
        <v>306</v>
      </c>
      <c r="B564" s="1015" t="s">
        <v>2564</v>
      </c>
      <c r="C564" s="987">
        <v>126</v>
      </c>
      <c r="D564" s="977" t="s">
        <v>3384</v>
      </c>
      <c r="E564" s="1016">
        <f>Sheet1!B708</f>
        <v>5543.55</v>
      </c>
      <c r="F564" s="979" t="s">
        <v>3170</v>
      </c>
    </row>
    <row r="565" spans="1:6" ht="30">
      <c r="A565" s="998">
        <f t="shared" si="13"/>
        <v>307</v>
      </c>
      <c r="B565" s="1017" t="s">
        <v>1972</v>
      </c>
      <c r="C565" s="987">
        <v>126</v>
      </c>
      <c r="D565" s="977" t="s">
        <v>3384</v>
      </c>
      <c r="E565" s="974">
        <f>'Update Descrip'!F4821</f>
        <v>410.32</v>
      </c>
      <c r="F565" s="979" t="s">
        <v>855</v>
      </c>
    </row>
    <row r="566" spans="1:6">
      <c r="A566" s="972"/>
      <c r="B566" s="971"/>
      <c r="C566" s="972"/>
      <c r="D566" s="973"/>
      <c r="E566" s="974"/>
      <c r="F566" s="973"/>
    </row>
    <row r="567" spans="1:6">
      <c r="A567" s="972"/>
      <c r="B567" s="971"/>
      <c r="C567" s="972"/>
      <c r="D567" s="973"/>
      <c r="E567" s="974"/>
      <c r="F567" s="973"/>
    </row>
  </sheetData>
  <sheetProtection formatCells="0" formatColumns="0" formatRows="0"/>
  <mergeCells count="28">
    <mergeCell ref="A341:F341"/>
    <mergeCell ref="A355:F355"/>
    <mergeCell ref="A370:F370"/>
    <mergeCell ref="A383:F383"/>
    <mergeCell ref="A268:F268"/>
    <mergeCell ref="A284:F284"/>
    <mergeCell ref="A292:F292"/>
    <mergeCell ref="A315:F315"/>
    <mergeCell ref="A330:F330"/>
    <mergeCell ref="D4:F4"/>
    <mergeCell ref="A2:E2"/>
    <mergeCell ref="A5:F5"/>
    <mergeCell ref="B3:F3"/>
    <mergeCell ref="A220:F220"/>
    <mergeCell ref="A15:F15"/>
    <mergeCell ref="A115:F115"/>
    <mergeCell ref="A150:F150"/>
    <mergeCell ref="A195:F195"/>
    <mergeCell ref="A88:F88"/>
    <mergeCell ref="A31:F31"/>
    <mergeCell ref="A48:F48"/>
    <mergeCell ref="A58:F58"/>
    <mergeCell ref="A76:F76"/>
    <mergeCell ref="A444:F444"/>
    <mergeCell ref="A392:F392"/>
    <mergeCell ref="A410:F410"/>
    <mergeCell ref="A421:F421"/>
    <mergeCell ref="A432:F432"/>
  </mergeCells>
  <phoneticPr fontId="0" type="noConversion"/>
  <pageMargins left="0.65" right="0.3" top="0.57999999999999996" bottom="0.75" header="0.3" footer="0.3"/>
  <pageSetup paperSize="9" scale="88" orientation="portrait" horizontalDpi="300" verticalDpi="300" r:id="rId1"/>
  <headerFooter alignWithMargins="0">
    <oddFooter>&amp;R&amp;P</oddFooter>
  </headerFooter>
  <rowBreaks count="4" manualBreakCount="4">
    <brk id="87" max="5" man="1"/>
    <brk id="403" max="5" man="1"/>
    <brk id="443" max="5" man="1"/>
    <brk id="511" max="5" man="1"/>
  </rowBreaks>
  <drawing r:id="rId2"/>
</worksheet>
</file>

<file path=xl/worksheets/sheet7.xml><?xml version="1.0" encoding="utf-8"?>
<worksheet xmlns="http://schemas.openxmlformats.org/spreadsheetml/2006/main" xmlns:r="http://schemas.openxmlformats.org/officeDocument/2006/relationships">
  <dimension ref="A3:J740"/>
  <sheetViews>
    <sheetView workbookViewId="0"/>
  </sheetViews>
  <sheetFormatPr defaultRowHeight="12.75"/>
  <sheetData>
    <row r="3" spans="1:8" s="1" customFormat="1" ht="19.5">
      <c r="A3" s="635">
        <f>'Update Descrip'!A4616+1</f>
        <v>303</v>
      </c>
      <c r="B3" s="1220" t="s">
        <v>196</v>
      </c>
      <c r="C3" s="1215"/>
      <c r="D3" s="1215"/>
      <c r="E3" s="1215"/>
      <c r="F3" s="1215"/>
      <c r="G3" s="1215"/>
      <c r="H3" s="1215"/>
    </row>
    <row r="4" spans="1:8" s="1" customFormat="1" ht="19.5">
      <c r="A4" s="606"/>
      <c r="B4" s="1218" t="s">
        <v>1149</v>
      </c>
      <c r="C4" s="1225"/>
      <c r="D4" s="1225"/>
      <c r="E4" s="1225"/>
      <c r="F4" s="1225"/>
      <c r="G4" s="1225"/>
      <c r="H4" s="1225"/>
    </row>
    <row r="5" spans="1:8" s="1" customFormat="1" ht="18" customHeight="1">
      <c r="A5" s="605"/>
      <c r="B5" s="1213" t="s">
        <v>2341</v>
      </c>
      <c r="C5" s="1213"/>
      <c r="D5" s="1213"/>
      <c r="E5" s="1213"/>
      <c r="F5" s="1213"/>
      <c r="G5" s="1213"/>
      <c r="H5" s="1213"/>
    </row>
    <row r="6" spans="1:8" s="1" customFormat="1" ht="63">
      <c r="A6" s="605"/>
      <c r="B6" s="607" t="s">
        <v>3340</v>
      </c>
      <c r="C6" s="607" t="s">
        <v>3341</v>
      </c>
      <c r="D6" s="607" t="s">
        <v>3342</v>
      </c>
      <c r="E6" s="607" t="s">
        <v>3343</v>
      </c>
      <c r="F6" s="607" t="s">
        <v>3344</v>
      </c>
      <c r="G6" s="607" t="s">
        <v>3345</v>
      </c>
      <c r="H6" s="607" t="s">
        <v>1704</v>
      </c>
    </row>
    <row r="7" spans="1:8" s="1" customFormat="1" ht="16.5">
      <c r="A7" s="605"/>
      <c r="B7" s="1222" t="s">
        <v>1705</v>
      </c>
      <c r="C7" s="608" t="s">
        <v>790</v>
      </c>
      <c r="D7" s="619">
        <v>3</v>
      </c>
      <c r="E7" s="626" t="s">
        <v>1643</v>
      </c>
      <c r="F7" s="609">
        <f>'update Rate'!F5</f>
        <v>525</v>
      </c>
      <c r="G7" s="609">
        <f>FLOOR(D7*F7,0.01)</f>
        <v>1575</v>
      </c>
      <c r="H7" s="610"/>
    </row>
    <row r="8" spans="1:8" s="1" customFormat="1" ht="18" customHeight="1">
      <c r="A8" s="605"/>
      <c r="B8" s="1223"/>
      <c r="C8" s="632" t="s">
        <v>615</v>
      </c>
      <c r="D8" s="621">
        <v>4</v>
      </c>
      <c r="E8" s="636" t="s">
        <v>1643</v>
      </c>
      <c r="F8" s="634">
        <f>'update Rate'!F4</f>
        <v>375</v>
      </c>
      <c r="G8" s="612">
        <f>FLOOR(D8*F8,0.01)</f>
        <v>1500</v>
      </c>
      <c r="H8" s="615">
        <f>SUM(G7+G8)</f>
        <v>3075</v>
      </c>
    </row>
    <row r="9" spans="1:8" ht="16.5">
      <c r="A9" s="605"/>
      <c r="B9" s="1222" t="s">
        <v>2330</v>
      </c>
      <c r="C9" s="608" t="s">
        <v>2342</v>
      </c>
      <c r="D9" s="619"/>
      <c r="E9" s="626"/>
      <c r="F9" s="609"/>
      <c r="G9" s="633"/>
      <c r="H9" s="633"/>
    </row>
    <row r="10" spans="1:8" s="1" customFormat="1" ht="18" customHeight="1">
      <c r="A10" s="605"/>
      <c r="B10" s="1224"/>
      <c r="C10" s="632" t="s">
        <v>1150</v>
      </c>
      <c r="D10" s="620">
        <v>59.34</v>
      </c>
      <c r="E10" s="637" t="s">
        <v>3096</v>
      </c>
      <c r="F10" s="612">
        <f>Jparling</f>
        <v>154</v>
      </c>
      <c r="G10" s="612">
        <f>FLOOR(D10*F10,0.01)</f>
        <v>9138.36</v>
      </c>
      <c r="H10" s="638"/>
    </row>
    <row r="11" spans="1:8" s="1" customFormat="1" ht="18" customHeight="1">
      <c r="A11" s="605"/>
      <c r="B11" s="1224"/>
      <c r="C11" s="632" t="s">
        <v>2343</v>
      </c>
      <c r="D11" s="620">
        <v>54</v>
      </c>
      <c r="E11" s="637" t="s">
        <v>803</v>
      </c>
      <c r="F11" s="612">
        <f>'update Rate'!F123</f>
        <v>23</v>
      </c>
      <c r="G11" s="612">
        <f>FLOOR(D11*F11,0.01)</f>
        <v>1242</v>
      </c>
      <c r="H11" s="627"/>
    </row>
    <row r="12" spans="1:8" s="1" customFormat="1" ht="31.5">
      <c r="A12" s="605"/>
      <c r="B12" s="1223"/>
      <c r="C12" s="630" t="s">
        <v>2344</v>
      </c>
      <c r="D12" s="606" t="s">
        <v>3171</v>
      </c>
      <c r="E12" s="606" t="s">
        <v>3173</v>
      </c>
      <c r="F12" s="606" t="s">
        <v>3173</v>
      </c>
      <c r="G12" s="614">
        <v>110</v>
      </c>
      <c r="H12" s="615">
        <f>SUM(G10+G11+G12)</f>
        <v>10490.36</v>
      </c>
    </row>
    <row r="13" spans="1:8" s="1" customFormat="1" ht="16.5">
      <c r="A13" s="605"/>
      <c r="B13" s="605"/>
      <c r="C13" s="605"/>
      <c r="D13" s="605"/>
      <c r="E13" s="605"/>
      <c r="F13" s="616" t="s">
        <v>1708</v>
      </c>
      <c r="G13" s="631"/>
      <c r="H13" s="614">
        <f>SUM(H8:H12)</f>
        <v>13565.36</v>
      </c>
    </row>
    <row r="14" spans="1:8" s="1" customFormat="1" ht="18" customHeight="1">
      <c r="A14" s="605"/>
      <c r="B14" s="605" t="s">
        <v>130</v>
      </c>
      <c r="C14" s="605"/>
      <c r="D14" s="605"/>
      <c r="E14" s="605"/>
      <c r="F14" s="616" t="s">
        <v>1688</v>
      </c>
      <c r="G14" s="631"/>
      <c r="H14" s="617">
        <f>FLOOR(H13*0.15,0.01)</f>
        <v>2034.8</v>
      </c>
    </row>
    <row r="15" spans="1:8" s="1" customFormat="1" ht="16.5">
      <c r="A15" s="618"/>
      <c r="B15" s="623">
        <f>+H15</f>
        <v>15600.16</v>
      </c>
      <c r="C15" s="618" t="s">
        <v>3384</v>
      </c>
      <c r="D15" s="617">
        <f>INT(B15/B16*100)/100</f>
        <v>262.89</v>
      </c>
      <c r="E15" s="605" t="s">
        <v>3385</v>
      </c>
      <c r="F15" s="616" t="s">
        <v>1711</v>
      </c>
      <c r="G15" s="631"/>
      <c r="H15" s="617">
        <f>SUM(H13:H14)</f>
        <v>15600.16</v>
      </c>
    </row>
    <row r="16" spans="1:8" s="1" customFormat="1" ht="16.5">
      <c r="A16" s="605"/>
      <c r="B16" s="639">
        <v>59.34</v>
      </c>
      <c r="C16" s="605"/>
      <c r="D16" s="605"/>
      <c r="E16" s="605"/>
      <c r="F16" s="605"/>
      <c r="G16" s="605"/>
      <c r="H16" s="605"/>
    </row>
    <row r="17" spans="1:8" s="1" customFormat="1" ht="18" customHeight="1">
      <c r="B17" s="149"/>
    </row>
    <row r="18" spans="1:8" s="1" customFormat="1" ht="15">
      <c r="A18" s="92"/>
      <c r="B18" s="1113"/>
      <c r="C18" s="1113"/>
      <c r="D18" s="1113"/>
      <c r="E18" s="1113"/>
      <c r="F18" s="1113"/>
      <c r="G18" s="1113"/>
      <c r="H18" s="1113"/>
    </row>
    <row r="19" spans="1:8" s="1" customFormat="1" ht="15">
      <c r="B19" s="1083" t="s">
        <v>1604</v>
      </c>
      <c r="C19" s="1083"/>
      <c r="D19" s="1083"/>
      <c r="E19" s="1083"/>
      <c r="F19" s="1083"/>
      <c r="G19" s="1083"/>
      <c r="H19" s="1083"/>
    </row>
    <row r="20" spans="1:8" s="1" customFormat="1" ht="63">
      <c r="B20" s="70" t="s">
        <v>3340</v>
      </c>
      <c r="C20" s="70" t="s">
        <v>3341</v>
      </c>
      <c r="D20" s="70" t="s">
        <v>3342</v>
      </c>
      <c r="E20" s="70" t="s">
        <v>3343</v>
      </c>
      <c r="F20" s="70" t="s">
        <v>3344</v>
      </c>
      <c r="G20" s="70" t="s">
        <v>3345</v>
      </c>
      <c r="H20" s="70" t="s">
        <v>1704</v>
      </c>
    </row>
    <row r="21" spans="1:8" s="1" customFormat="1" ht="31.5">
      <c r="B21" s="60" t="s">
        <v>2330</v>
      </c>
      <c r="C21" s="60" t="s">
        <v>425</v>
      </c>
      <c r="D21" s="8"/>
      <c r="E21" s="8"/>
      <c r="F21" s="111"/>
      <c r="G21" s="111"/>
      <c r="H21" s="112"/>
    </row>
    <row r="22" spans="1:8" s="1" customFormat="1" ht="31.5">
      <c r="B22" s="84" t="s">
        <v>424</v>
      </c>
      <c r="C22" s="80" t="s">
        <v>1584</v>
      </c>
      <c r="D22" s="45">
        <v>1</v>
      </c>
      <c r="E22" s="58" t="s">
        <v>3170</v>
      </c>
      <c r="F22" s="65">
        <f>'update Rate'!F185</f>
        <v>5089.4799999999996</v>
      </c>
      <c r="G22" s="65">
        <f>FLOOR(D22*F22,0.01)</f>
        <v>5089.4800000000005</v>
      </c>
      <c r="H22" s="127">
        <f>SUM(G22)</f>
        <v>5089.4800000000005</v>
      </c>
    </row>
    <row r="23" spans="1:8" s="1" customFormat="1" ht="16.5">
      <c r="F23" s="42" t="s">
        <v>1708</v>
      </c>
      <c r="G23" s="106"/>
      <c r="H23" s="65">
        <f>SUM(H20:H22)</f>
        <v>5089.4800000000005</v>
      </c>
    </row>
    <row r="24" spans="1:8" s="1" customFormat="1" ht="16.5">
      <c r="B24" s="1" t="s">
        <v>426</v>
      </c>
      <c r="F24" s="42" t="s">
        <v>1688</v>
      </c>
      <c r="G24" s="106"/>
      <c r="H24" s="103">
        <f>FLOOR(H23*0.15,0.01)</f>
        <v>763.42000000000007</v>
      </c>
    </row>
    <row r="25" spans="1:8" s="1" customFormat="1" ht="16.5">
      <c r="A25" s="28" t="s">
        <v>3384</v>
      </c>
      <c r="B25" s="103">
        <f>+H25</f>
        <v>5852.9000000000005</v>
      </c>
      <c r="C25" s="1" t="s">
        <v>3385</v>
      </c>
      <c r="F25" s="42" t="s">
        <v>1711</v>
      </c>
      <c r="G25" s="106"/>
      <c r="H25" s="103">
        <f>SUM(H23:H24)</f>
        <v>5852.9000000000005</v>
      </c>
    </row>
    <row r="26" spans="1:8" s="1" customFormat="1" ht="15"/>
    <row r="27" spans="1:8" s="1" customFormat="1" ht="15"/>
    <row r="28" spans="1:8" s="1" customFormat="1" ht="16.5">
      <c r="A28" s="222"/>
      <c r="B28" s="151"/>
      <c r="F28" s="42"/>
      <c r="G28" s="106"/>
      <c r="H28" s="151"/>
    </row>
    <row r="29" spans="1:8" s="1" customFormat="1" ht="15">
      <c r="A29" s="32"/>
      <c r="B29" s="1113"/>
      <c r="C29" s="1113"/>
      <c r="D29" s="1113"/>
      <c r="E29" s="1113"/>
      <c r="F29" s="1113"/>
      <c r="G29" s="1113"/>
      <c r="H29" s="1113"/>
    </row>
    <row r="30" spans="1:8" s="1" customFormat="1" ht="19.5">
      <c r="A30" s="145">
        <f>+'Update Descrip'!A4250+1</f>
        <v>277</v>
      </c>
      <c r="B30" s="1077" t="s">
        <v>1825</v>
      </c>
      <c r="C30" s="1072"/>
      <c r="D30" s="1072"/>
      <c r="E30" s="1072"/>
      <c r="F30" s="1072"/>
      <c r="G30" s="1072"/>
      <c r="H30" s="1072"/>
    </row>
    <row r="31" spans="1:8" s="1" customFormat="1" ht="15">
      <c r="A31" s="15"/>
      <c r="B31" s="1075" t="s">
        <v>182</v>
      </c>
      <c r="C31" s="1075"/>
      <c r="D31" s="1075"/>
      <c r="E31" s="1075"/>
      <c r="F31" s="1075"/>
      <c r="G31" s="1075"/>
      <c r="H31" s="1075"/>
    </row>
    <row r="32" spans="1:8" s="1" customFormat="1" ht="15"/>
    <row r="33" spans="1:8" s="1" customFormat="1" ht="63">
      <c r="B33" s="70" t="s">
        <v>3340</v>
      </c>
      <c r="C33" s="70" t="s">
        <v>3341</v>
      </c>
      <c r="D33" s="70" t="s">
        <v>3342</v>
      </c>
      <c r="E33" s="70" t="s">
        <v>3343</v>
      </c>
      <c r="F33" s="70" t="s">
        <v>3344</v>
      </c>
      <c r="G33" s="70" t="s">
        <v>3345</v>
      </c>
      <c r="H33" s="70" t="s">
        <v>1704</v>
      </c>
    </row>
    <row r="34" spans="1:8" s="1" customFormat="1" ht="31.5">
      <c r="B34" s="1093"/>
      <c r="C34" s="82" t="s">
        <v>1339</v>
      </c>
      <c r="D34" s="44">
        <v>1</v>
      </c>
      <c r="E34" s="55" t="s">
        <v>2938</v>
      </c>
      <c r="F34" s="113">
        <f>'update Rate'!$F$201</f>
        <v>1640</v>
      </c>
      <c r="G34" s="113">
        <f>FLOOR(D34*F34,0.01)</f>
        <v>1640</v>
      </c>
      <c r="H34" s="9"/>
    </row>
    <row r="35" spans="1:8" s="1" customFormat="1" ht="30.75">
      <c r="B35" s="1093"/>
      <c r="C35" s="34" t="s">
        <v>1826</v>
      </c>
      <c r="D35" s="30"/>
      <c r="E35" s="12"/>
      <c r="F35" s="120"/>
      <c r="G35" s="113"/>
      <c r="H35" s="137"/>
    </row>
    <row r="36" spans="1:8" s="1" customFormat="1" ht="15.75">
      <c r="B36" s="1093"/>
      <c r="C36" s="82" t="s">
        <v>1340</v>
      </c>
      <c r="D36" s="30"/>
      <c r="E36" s="12"/>
      <c r="F36" s="120"/>
      <c r="G36" s="113"/>
      <c r="H36" s="125"/>
    </row>
    <row r="37" spans="1:8" s="1" customFormat="1" ht="15.75">
      <c r="B37" s="1099"/>
      <c r="C37" s="80" t="s">
        <v>1341</v>
      </c>
      <c r="D37" s="29"/>
      <c r="E37" s="15"/>
      <c r="F37" s="126"/>
      <c r="G37" s="65"/>
      <c r="H37" s="127">
        <f>SUM(G34)</f>
        <v>1640</v>
      </c>
    </row>
    <row r="38" spans="1:8" s="1" customFormat="1" ht="16.5">
      <c r="F38" s="42" t="s">
        <v>1708</v>
      </c>
      <c r="G38" s="106"/>
      <c r="H38" s="65">
        <f>SUM(H37)</f>
        <v>1640</v>
      </c>
    </row>
    <row r="39" spans="1:8" s="1" customFormat="1" ht="16.5">
      <c r="B39" s="1" t="s">
        <v>549</v>
      </c>
      <c r="F39" s="42" t="s">
        <v>1688</v>
      </c>
      <c r="G39" s="106"/>
      <c r="H39" s="103">
        <f>FLOOR(H38*0.15,0.01)</f>
        <v>246</v>
      </c>
    </row>
    <row r="40" spans="1:8" s="1" customFormat="1" ht="16.5">
      <c r="A40" s="28" t="s">
        <v>3384</v>
      </c>
      <c r="B40" s="103">
        <f>+H40</f>
        <v>1886</v>
      </c>
      <c r="C40" s="1" t="s">
        <v>3385</v>
      </c>
      <c r="F40" s="42" t="s">
        <v>1711</v>
      </c>
      <c r="G40" s="106"/>
      <c r="H40" s="103">
        <f>SUM(H38:H39)</f>
        <v>1886</v>
      </c>
    </row>
    <row r="41" spans="1:8" s="1" customFormat="1" ht="16.5">
      <c r="A41" s="1" t="s">
        <v>550</v>
      </c>
      <c r="B41" s="149"/>
    </row>
    <row r="42" spans="1:8" s="1" customFormat="1" ht="16.5">
      <c r="B42" s="149"/>
    </row>
    <row r="43" spans="1:8" s="1" customFormat="1" ht="15"/>
    <row r="44" spans="1:8" s="1" customFormat="1" ht="15">
      <c r="A44" s="635">
        <f>+A30+1</f>
        <v>278</v>
      </c>
      <c r="B44" s="1220"/>
      <c r="C44" s="1221"/>
      <c r="D44" s="1221"/>
      <c r="E44" s="1221"/>
      <c r="F44" s="1221"/>
      <c r="G44" s="1221"/>
      <c r="H44" s="1221"/>
    </row>
    <row r="45" spans="1:8" s="1" customFormat="1" ht="25.5">
      <c r="A45" s="606"/>
      <c r="B45" s="1214" t="s">
        <v>62</v>
      </c>
      <c r="C45" s="1215"/>
      <c r="D45" s="1215"/>
      <c r="E45" s="1215"/>
      <c r="F45" s="1215"/>
      <c r="G45" s="1215"/>
      <c r="H45" s="1215"/>
    </row>
    <row r="46" spans="1:8" s="1" customFormat="1" ht="19.5">
      <c r="A46" s="641"/>
      <c r="B46" s="1216" t="s">
        <v>63</v>
      </c>
      <c r="C46" s="1217"/>
      <c r="D46" s="1217"/>
      <c r="E46" s="1217"/>
      <c r="F46" s="1217"/>
      <c r="G46" s="1217"/>
      <c r="H46" s="1217"/>
    </row>
    <row r="47" spans="1:8" s="1" customFormat="1" ht="15">
      <c r="A47" s="605"/>
      <c r="B47" s="1213" t="s">
        <v>1590</v>
      </c>
      <c r="C47" s="1213"/>
      <c r="D47" s="1213"/>
      <c r="E47" s="1213"/>
      <c r="F47" s="1213"/>
      <c r="G47" s="1213"/>
      <c r="H47" s="1213"/>
    </row>
    <row r="48" spans="1:8" s="1" customFormat="1" ht="63">
      <c r="A48" s="605"/>
      <c r="B48" s="607" t="s">
        <v>3340</v>
      </c>
      <c r="C48" s="607" t="s">
        <v>3341</v>
      </c>
      <c r="D48" s="607" t="s">
        <v>3342</v>
      </c>
      <c r="E48" s="607" t="s">
        <v>3343</v>
      </c>
      <c r="F48" s="607" t="s">
        <v>3344</v>
      </c>
      <c r="G48" s="607" t="s">
        <v>3345</v>
      </c>
      <c r="H48" s="607" t="s">
        <v>1704</v>
      </c>
    </row>
    <row r="49" spans="1:8" s="1" customFormat="1" ht="43.5">
      <c r="A49" s="605"/>
      <c r="B49" s="1222" t="s">
        <v>2330</v>
      </c>
      <c r="C49" s="642" t="s">
        <v>64</v>
      </c>
      <c r="D49" s="605"/>
      <c r="E49" s="629"/>
      <c r="F49" s="634"/>
      <c r="G49" s="634"/>
      <c r="H49" s="610"/>
    </row>
    <row r="50" spans="1:8" s="1" customFormat="1" ht="28.5">
      <c r="A50" s="605"/>
      <c r="B50" s="1224"/>
      <c r="C50" s="643" t="s">
        <v>2124</v>
      </c>
      <c r="D50" s="644"/>
      <c r="E50" s="637"/>
      <c r="F50" s="634"/>
      <c r="G50" s="634"/>
      <c r="H50" s="613"/>
    </row>
    <row r="51" spans="1:8" s="1" customFormat="1" ht="31.5">
      <c r="A51" s="605"/>
      <c r="B51" s="1224"/>
      <c r="C51" s="632" t="s">
        <v>2125</v>
      </c>
      <c r="D51" s="620">
        <v>1</v>
      </c>
      <c r="E51" s="611" t="s">
        <v>3170</v>
      </c>
      <c r="F51" s="612">
        <f>'update Rate'!F199</f>
        <v>1345</v>
      </c>
      <c r="G51" s="612">
        <f>FLOOR(D51*F51,0.01)</f>
        <v>1345</v>
      </c>
      <c r="H51" s="627"/>
    </row>
    <row r="52" spans="1:8" s="1" customFormat="1" ht="47.25">
      <c r="A52" s="605"/>
      <c r="B52" s="1224"/>
      <c r="C52" s="632" t="s">
        <v>2126</v>
      </c>
      <c r="D52" s="644"/>
      <c r="E52" s="637"/>
      <c r="F52" s="634"/>
      <c r="G52" s="638"/>
      <c r="H52" s="638"/>
    </row>
    <row r="53" spans="1:8" s="1" customFormat="1" ht="30.75">
      <c r="A53" s="605"/>
      <c r="B53" s="1224"/>
      <c r="C53" s="636" t="s">
        <v>46</v>
      </c>
      <c r="D53" s="644"/>
      <c r="E53" s="637"/>
      <c r="F53" s="634"/>
      <c r="G53" s="612"/>
      <c r="H53" s="638"/>
    </row>
    <row r="54" spans="1:8" s="1" customFormat="1" ht="31.5">
      <c r="A54" s="605"/>
      <c r="B54" s="1224"/>
      <c r="C54" s="632" t="s">
        <v>2127</v>
      </c>
      <c r="D54" s="644"/>
      <c r="E54" s="637"/>
      <c r="F54" s="634"/>
      <c r="G54" s="612"/>
      <c r="H54" s="613"/>
    </row>
    <row r="55" spans="1:8" s="1" customFormat="1" ht="31.5">
      <c r="A55" s="605"/>
      <c r="B55" s="1223"/>
      <c r="C55" s="630" t="s">
        <v>47</v>
      </c>
      <c r="D55" s="645"/>
      <c r="E55" s="606"/>
      <c r="F55" s="628"/>
      <c r="G55" s="614"/>
      <c r="H55" s="615">
        <f>SUM(G50+G51)</f>
        <v>1345</v>
      </c>
    </row>
    <row r="56" spans="1:8" s="1" customFormat="1" ht="16.5">
      <c r="A56" s="605"/>
      <c r="B56" s="605"/>
      <c r="C56" s="605"/>
      <c r="D56" s="605"/>
      <c r="E56" s="605"/>
      <c r="F56" s="616" t="s">
        <v>1708</v>
      </c>
      <c r="G56" s="631"/>
      <c r="H56" s="614">
        <f>SUM(H55)</f>
        <v>1345</v>
      </c>
    </row>
    <row r="57" spans="1:8" s="1" customFormat="1" ht="16.5">
      <c r="A57" s="605"/>
      <c r="B57" s="605" t="s">
        <v>2974</v>
      </c>
      <c r="C57" s="605"/>
      <c r="D57" s="605"/>
      <c r="E57" s="605"/>
      <c r="F57" s="616" t="s">
        <v>1688</v>
      </c>
      <c r="G57" s="631"/>
      <c r="H57" s="617">
        <f>FLOOR(H56*0.15,0.01)</f>
        <v>201.75</v>
      </c>
    </row>
    <row r="58" spans="1:8" s="1" customFormat="1" ht="16.5">
      <c r="A58" s="618" t="s">
        <v>3384</v>
      </c>
      <c r="B58" s="617">
        <f>+H58</f>
        <v>1546.75</v>
      </c>
      <c r="C58" s="605" t="s">
        <v>3385</v>
      </c>
      <c r="D58" s="605"/>
      <c r="E58" s="605"/>
      <c r="F58" s="616" t="s">
        <v>1711</v>
      </c>
      <c r="G58" s="631"/>
      <c r="H58" s="617">
        <f>SUM(H56:H57)</f>
        <v>1546.75</v>
      </c>
    </row>
    <row r="59" spans="1:8" s="1" customFormat="1" ht="15">
      <c r="A59" s="605"/>
      <c r="B59" s="605"/>
      <c r="C59" s="605"/>
      <c r="D59" s="605"/>
      <c r="E59" s="605"/>
      <c r="F59" s="605"/>
      <c r="G59" s="605"/>
      <c r="H59" s="605"/>
    </row>
    <row r="60" spans="1:8" s="1" customFormat="1" ht="15">
      <c r="A60" s="605"/>
      <c r="B60" s="605"/>
      <c r="C60" s="605"/>
      <c r="D60" s="605"/>
      <c r="E60" s="605"/>
      <c r="F60" s="605"/>
      <c r="G60" s="605"/>
      <c r="H60" s="605"/>
    </row>
    <row r="61" spans="1:8" s="1" customFormat="1" ht="15">
      <c r="A61" s="605"/>
      <c r="B61" s="605"/>
      <c r="C61" s="605"/>
      <c r="D61" s="605"/>
      <c r="E61" s="605"/>
      <c r="F61" s="605"/>
      <c r="G61" s="605"/>
      <c r="H61" s="605"/>
    </row>
    <row r="62" spans="1:8" s="1" customFormat="1" ht="25.5">
      <c r="A62" s="635">
        <f>+A44+1</f>
        <v>279</v>
      </c>
      <c r="B62" s="1214" t="s">
        <v>62</v>
      </c>
      <c r="C62" s="1219"/>
      <c r="D62" s="1219"/>
      <c r="E62" s="1219"/>
      <c r="F62" s="1219"/>
      <c r="G62" s="1219"/>
      <c r="H62" s="1219"/>
    </row>
    <row r="63" spans="1:8" s="1" customFormat="1" ht="25.5">
      <c r="A63" s="606"/>
      <c r="B63" s="1218" t="s">
        <v>1453</v>
      </c>
      <c r="C63" s="1216"/>
      <c r="D63" s="1216"/>
      <c r="E63" s="1216"/>
      <c r="F63" s="1216"/>
      <c r="G63" s="1216"/>
      <c r="H63" s="1216"/>
    </row>
    <row r="64" spans="1:8" s="1" customFormat="1" ht="19.5">
      <c r="A64" s="646"/>
      <c r="B64" s="1215" t="s">
        <v>2686</v>
      </c>
      <c r="C64" s="1215"/>
      <c r="D64" s="1215"/>
      <c r="E64" s="1215"/>
      <c r="F64" s="1215"/>
      <c r="G64" s="1215"/>
      <c r="H64" s="1215"/>
    </row>
    <row r="65" spans="1:8" s="1" customFormat="1" ht="15">
      <c r="A65" s="647"/>
      <c r="B65" s="1213" t="s">
        <v>1590</v>
      </c>
      <c r="C65" s="1213"/>
      <c r="D65" s="1213"/>
      <c r="E65" s="1213"/>
      <c r="F65" s="1213"/>
      <c r="G65" s="1213"/>
      <c r="H65" s="1213"/>
    </row>
    <row r="66" spans="1:8" s="1" customFormat="1" ht="63">
      <c r="A66" s="605"/>
      <c r="B66" s="607" t="s">
        <v>3340</v>
      </c>
      <c r="C66" s="607" t="s">
        <v>3341</v>
      </c>
      <c r="D66" s="607" t="s">
        <v>3342</v>
      </c>
      <c r="E66" s="607" t="s">
        <v>3343</v>
      </c>
      <c r="F66" s="607" t="s">
        <v>3344</v>
      </c>
      <c r="G66" s="607" t="s">
        <v>3345</v>
      </c>
      <c r="H66" s="607" t="s">
        <v>1704</v>
      </c>
    </row>
    <row r="67" spans="1:8" s="1" customFormat="1" ht="43.5">
      <c r="A67" s="605"/>
      <c r="B67" s="1222" t="s">
        <v>2330</v>
      </c>
      <c r="C67" s="642" t="s">
        <v>64</v>
      </c>
      <c r="D67" s="620"/>
      <c r="E67" s="611"/>
      <c r="F67" s="634"/>
      <c r="G67" s="634"/>
      <c r="H67" s="610"/>
    </row>
    <row r="68" spans="1:8" s="1" customFormat="1" ht="28.5">
      <c r="A68" s="605"/>
      <c r="B68" s="1224"/>
      <c r="C68" s="643" t="s">
        <v>2124</v>
      </c>
      <c r="D68" s="625"/>
      <c r="E68" s="637"/>
      <c r="F68" s="634"/>
      <c r="G68" s="634"/>
      <c r="H68" s="613"/>
    </row>
    <row r="69" spans="1:8" s="1" customFormat="1" ht="30">
      <c r="A69" s="605"/>
      <c r="B69" s="1224"/>
      <c r="C69" s="636" t="s">
        <v>2973</v>
      </c>
      <c r="D69" s="625"/>
      <c r="E69" s="637"/>
      <c r="F69" s="634"/>
      <c r="G69" s="634"/>
      <c r="H69" s="613"/>
    </row>
    <row r="70" spans="1:8" s="1" customFormat="1" ht="45">
      <c r="A70" s="605"/>
      <c r="B70" s="1224"/>
      <c r="C70" s="636" t="s">
        <v>2687</v>
      </c>
      <c r="D70" s="620">
        <v>1</v>
      </c>
      <c r="E70" s="611" t="s">
        <v>3170</v>
      </c>
      <c r="F70" s="612">
        <f>'update Rate'!F200</f>
        <v>800</v>
      </c>
      <c r="G70" s="612">
        <f>FLOOR(D70*F70,0.01)</f>
        <v>800</v>
      </c>
      <c r="H70" s="627"/>
    </row>
    <row r="71" spans="1:8" s="1" customFormat="1" ht="30.75">
      <c r="A71" s="605"/>
      <c r="B71" s="1224"/>
      <c r="C71" s="636" t="s">
        <v>46</v>
      </c>
      <c r="D71" s="625"/>
      <c r="E71" s="637"/>
      <c r="F71" s="634"/>
      <c r="G71" s="638"/>
      <c r="H71" s="638"/>
    </row>
    <row r="72" spans="1:8" s="1" customFormat="1" ht="31.5">
      <c r="A72" s="605"/>
      <c r="B72" s="1224"/>
      <c r="C72" s="632" t="s">
        <v>2127</v>
      </c>
      <c r="D72" s="625"/>
      <c r="E72" s="637"/>
      <c r="F72" s="634"/>
      <c r="G72" s="612"/>
      <c r="H72" s="638"/>
    </row>
    <row r="73" spans="1:8" s="1" customFormat="1" ht="31.5">
      <c r="A73" s="618"/>
      <c r="B73" s="1223"/>
      <c r="C73" s="630" t="s">
        <v>47</v>
      </c>
      <c r="D73" s="640"/>
      <c r="E73" s="606"/>
      <c r="F73" s="628"/>
      <c r="G73" s="612"/>
      <c r="H73" s="615">
        <f>SUM(G69+G70)</f>
        <v>800</v>
      </c>
    </row>
    <row r="74" spans="1:8" s="1" customFormat="1" ht="15.75">
      <c r="A74" s="647"/>
      <c r="B74" s="646"/>
      <c r="C74" s="605"/>
      <c r="D74" s="605"/>
      <c r="E74" s="605"/>
      <c r="F74" s="616" t="s">
        <v>1708</v>
      </c>
      <c r="G74" s="648"/>
      <c r="H74" s="614">
        <f>SUM(H71:H73)</f>
        <v>800</v>
      </c>
    </row>
    <row r="75" spans="1:8" s="1" customFormat="1" ht="16.5">
      <c r="A75" s="605"/>
      <c r="B75" s="605" t="s">
        <v>2974</v>
      </c>
      <c r="C75" s="605"/>
      <c r="D75" s="605"/>
      <c r="E75" s="605"/>
      <c r="F75" s="616" t="s">
        <v>1688</v>
      </c>
      <c r="G75" s="631"/>
      <c r="H75" s="617">
        <f>FLOOR(H74*0.15,0.01)</f>
        <v>120</v>
      </c>
    </row>
    <row r="76" spans="1:8" s="1" customFormat="1" ht="16.5">
      <c r="A76" s="618" t="s">
        <v>3384</v>
      </c>
      <c r="B76" s="617">
        <f>+H76</f>
        <v>920</v>
      </c>
      <c r="C76" s="605"/>
      <c r="D76" s="605"/>
      <c r="E76" s="605"/>
      <c r="F76" s="616" t="s">
        <v>1711</v>
      </c>
      <c r="G76" s="631"/>
      <c r="H76" s="617">
        <f>SUM(H74:H75)</f>
        <v>920</v>
      </c>
    </row>
    <row r="77" spans="1:8" s="1" customFormat="1" ht="15.75">
      <c r="G77" s="42"/>
    </row>
    <row r="78" spans="1:8" s="1" customFormat="1" ht="15.75">
      <c r="G78" s="42"/>
    </row>
    <row r="79" spans="1:8" s="1" customFormat="1" ht="17.25">
      <c r="A79" s="28"/>
      <c r="B79" s="149"/>
      <c r="F79" s="42"/>
      <c r="G79" s="106"/>
      <c r="H79" s="151"/>
    </row>
    <row r="80" spans="1:8" s="1" customFormat="1" ht="17.25">
      <c r="A80" s="28"/>
      <c r="B80" s="149"/>
      <c r="C80" s="28"/>
      <c r="D80" s="151"/>
      <c r="F80" s="42"/>
      <c r="G80" s="106"/>
      <c r="H80" s="151"/>
    </row>
    <row r="81" spans="1:8" s="1" customFormat="1" ht="15"/>
    <row r="82" spans="1:8" s="1" customFormat="1" ht="17.25">
      <c r="B82" s="209"/>
      <c r="F82" s="42"/>
      <c r="G82" s="42"/>
      <c r="H82" s="19"/>
    </row>
    <row r="83" spans="1:8" s="1" customFormat="1" ht="17.25">
      <c r="B83" s="209"/>
      <c r="F83" s="42"/>
      <c r="G83" s="42"/>
      <c r="H83" s="19"/>
    </row>
    <row r="84" spans="1:8" s="1" customFormat="1" ht="17.25">
      <c r="B84" s="209"/>
      <c r="F84" s="42"/>
      <c r="G84" s="42"/>
      <c r="H84" s="19"/>
    </row>
    <row r="85" spans="1:8" s="1" customFormat="1" ht="17.25">
      <c r="B85" s="209"/>
      <c r="F85" s="42"/>
      <c r="G85" s="42"/>
      <c r="H85" s="19"/>
    </row>
    <row r="86" spans="1:8" s="1" customFormat="1" ht="15">
      <c r="B86" s="242"/>
    </row>
    <row r="87" spans="1:8" s="1" customFormat="1" ht="15.75">
      <c r="A87" s="233"/>
      <c r="B87" s="151"/>
      <c r="F87" s="42"/>
      <c r="G87" s="42"/>
      <c r="H87" s="256"/>
    </row>
    <row r="88" spans="1:8" s="1" customFormat="1" ht="15.75">
      <c r="A88" s="233"/>
      <c r="B88" s="151"/>
      <c r="F88" s="42"/>
      <c r="G88" s="42"/>
      <c r="H88" s="256"/>
    </row>
    <row r="89" spans="1:8" s="1" customFormat="1" ht="17.25">
      <c r="B89" s="151"/>
      <c r="C89" s="233"/>
      <c r="D89" s="209"/>
      <c r="F89" s="42"/>
      <c r="G89" s="110"/>
      <c r="H89" s="151"/>
    </row>
    <row r="90" spans="1:8" s="1" customFormat="1" ht="17.25">
      <c r="B90" s="151"/>
      <c r="C90" s="233"/>
      <c r="D90" s="209"/>
      <c r="F90" s="42"/>
      <c r="G90" s="110"/>
      <c r="H90" s="151"/>
    </row>
    <row r="91" spans="1:8" s="1" customFormat="1" ht="17.25">
      <c r="B91" s="151"/>
      <c r="C91" s="233"/>
      <c r="D91" s="209"/>
      <c r="F91" s="42"/>
      <c r="G91" s="110"/>
      <c r="H91" s="151"/>
    </row>
    <row r="92" spans="1:8" s="1" customFormat="1" ht="17.25">
      <c r="B92" s="151"/>
      <c r="C92" s="233"/>
      <c r="D92" s="209"/>
      <c r="F92" s="42"/>
      <c r="G92" s="110"/>
      <c r="H92" s="151"/>
    </row>
    <row r="93" spans="1:8" s="1" customFormat="1" ht="17.25">
      <c r="B93" s="151"/>
      <c r="C93" s="233"/>
      <c r="D93" s="209"/>
      <c r="F93" s="42"/>
      <c r="G93" s="110"/>
      <c r="H93" s="151"/>
    </row>
    <row r="94" spans="1:8" s="1" customFormat="1" ht="17.25">
      <c r="B94" s="151"/>
      <c r="C94" s="233"/>
      <c r="D94" s="209"/>
      <c r="F94" s="42"/>
      <c r="G94" s="110"/>
      <c r="H94" s="151"/>
    </row>
    <row r="95" spans="1:8" s="1" customFormat="1" ht="16.5">
      <c r="B95" s="209"/>
    </row>
    <row r="96" spans="1:8" s="1" customFormat="1" ht="17.25">
      <c r="B96" s="236"/>
      <c r="C96" s="233"/>
      <c r="D96" s="209"/>
      <c r="F96" s="42"/>
      <c r="G96" s="42"/>
      <c r="H96" s="19"/>
    </row>
    <row r="97" spans="1:8" s="1" customFormat="1" ht="15">
      <c r="A97" s="282">
        <f>+'Update Descrip'!A2988+1</f>
        <v>181</v>
      </c>
      <c r="B97" s="1081" t="s">
        <v>1848</v>
      </c>
      <c r="C97" s="1110"/>
      <c r="D97" s="1110"/>
      <c r="E97" s="1110"/>
      <c r="F97" s="1110"/>
      <c r="G97" s="1110"/>
      <c r="H97" s="1110"/>
    </row>
    <row r="98" spans="1:8" s="1" customFormat="1" ht="15">
      <c r="A98" s="15" t="s">
        <v>1849</v>
      </c>
      <c r="B98" s="1081" t="s">
        <v>2100</v>
      </c>
      <c r="C98" s="1112"/>
      <c r="D98" s="1112"/>
      <c r="E98" s="1112"/>
      <c r="F98" s="1112"/>
      <c r="G98" s="1112"/>
      <c r="H98" s="1112"/>
    </row>
    <row r="99" spans="1:8" s="1" customFormat="1" ht="16.5">
      <c r="A99" s="278"/>
      <c r="B99" s="1081" t="s">
        <v>2101</v>
      </c>
      <c r="C99" s="1081"/>
      <c r="D99" s="1081"/>
      <c r="E99" s="1081"/>
      <c r="F99" s="1081"/>
      <c r="G99" s="1081"/>
      <c r="H99" s="1081"/>
    </row>
    <row r="100" spans="1:8" s="1" customFormat="1" ht="15">
      <c r="A100" s="25"/>
      <c r="B100" s="1081" t="s">
        <v>2102</v>
      </c>
      <c r="C100" s="1112"/>
      <c r="D100" s="1112"/>
      <c r="E100" s="1112"/>
      <c r="F100" s="1112"/>
      <c r="G100" s="1112"/>
      <c r="H100" s="1112"/>
    </row>
    <row r="101" spans="1:8" s="1" customFormat="1" ht="15">
      <c r="B101" s="1083" t="s">
        <v>1604</v>
      </c>
      <c r="C101" s="1083"/>
      <c r="D101" s="1083"/>
      <c r="E101" s="1083"/>
      <c r="F101" s="1083"/>
      <c r="G101" s="1083"/>
      <c r="H101" s="1083"/>
    </row>
    <row r="102" spans="1:8" s="1" customFormat="1" ht="63">
      <c r="B102" s="70" t="s">
        <v>3340</v>
      </c>
      <c r="C102" s="70" t="s">
        <v>3341</v>
      </c>
      <c r="D102" s="70" t="s">
        <v>3342</v>
      </c>
      <c r="E102" s="70" t="s">
        <v>3343</v>
      </c>
      <c r="F102" s="70" t="s">
        <v>3344</v>
      </c>
      <c r="G102" s="70" t="s">
        <v>3345</v>
      </c>
      <c r="H102" s="70" t="s">
        <v>1704</v>
      </c>
    </row>
    <row r="103" spans="1:8" s="1" customFormat="1" ht="47.25">
      <c r="B103" s="60" t="s">
        <v>2330</v>
      </c>
      <c r="C103" s="60" t="s">
        <v>2103</v>
      </c>
      <c r="D103" s="8"/>
      <c r="E103" s="8"/>
      <c r="F103" s="111"/>
      <c r="G103" s="111"/>
      <c r="H103" s="112"/>
    </row>
    <row r="104" spans="1:8" s="1" customFormat="1" ht="31.5">
      <c r="B104" s="83" t="s">
        <v>424</v>
      </c>
      <c r="C104" s="82" t="s">
        <v>1584</v>
      </c>
      <c r="D104" s="44">
        <v>1</v>
      </c>
      <c r="E104" s="55" t="s">
        <v>3170</v>
      </c>
      <c r="F104" s="120">
        <f>'update Rate'!$F$211</f>
        <v>699.4</v>
      </c>
      <c r="G104" s="113">
        <f>SUM(D104*F104)</f>
        <v>699.4</v>
      </c>
      <c r="H104" s="9"/>
    </row>
    <row r="105" spans="1:8" s="1" customFormat="1" ht="17.25">
      <c r="B105" s="80"/>
      <c r="C105" s="80"/>
      <c r="D105" s="53"/>
      <c r="E105" s="58"/>
      <c r="F105" s="126"/>
      <c r="G105" s="126"/>
      <c r="H105" s="127">
        <f>SUM(G104)</f>
        <v>699.4</v>
      </c>
    </row>
    <row r="106" spans="1:8" s="1" customFormat="1" ht="16.5">
      <c r="F106" s="42" t="s">
        <v>1708</v>
      </c>
      <c r="G106" s="106"/>
      <c r="H106" s="65">
        <f>SUM(H102:H105)</f>
        <v>699.4</v>
      </c>
    </row>
    <row r="107" spans="1:8" s="1" customFormat="1" ht="16.5">
      <c r="B107" s="1" t="s">
        <v>426</v>
      </c>
      <c r="F107" s="42" t="s">
        <v>1688</v>
      </c>
      <c r="G107" s="106"/>
      <c r="H107" s="65">
        <f>FLOOR(H106*0.15,0.01)</f>
        <v>104.91</v>
      </c>
    </row>
    <row r="108" spans="1:8" s="1" customFormat="1" ht="16.5">
      <c r="A108" s="28" t="s">
        <v>3384</v>
      </c>
      <c r="B108" s="103">
        <f>+H108</f>
        <v>804.31</v>
      </c>
      <c r="C108" s="1" t="s">
        <v>3385</v>
      </c>
      <c r="F108" s="42" t="s">
        <v>1711</v>
      </c>
      <c r="G108" s="106"/>
      <c r="H108" s="103">
        <f>SUM(H106:H107)</f>
        <v>804.31</v>
      </c>
    </row>
    <row r="109" spans="1:8" s="1" customFormat="1" ht="16.5">
      <c r="B109" s="250" t="s">
        <v>2104</v>
      </c>
      <c r="C109" s="28"/>
      <c r="D109" s="151"/>
      <c r="F109" s="42"/>
      <c r="G109" s="106"/>
      <c r="H109" s="151"/>
    </row>
    <row r="110" spans="1:8" s="1" customFormat="1" ht="15">
      <c r="A110" s="282">
        <f>+A97+1</f>
        <v>182</v>
      </c>
      <c r="B110" s="1081" t="s">
        <v>1800</v>
      </c>
      <c r="C110" s="1110"/>
      <c r="D110" s="1110"/>
      <c r="E110" s="1110"/>
      <c r="F110" s="1110"/>
      <c r="G110" s="1110"/>
      <c r="H110" s="1110"/>
    </row>
    <row r="111" spans="1:8" s="1" customFormat="1" ht="15">
      <c r="A111" s="15" t="s">
        <v>1801</v>
      </c>
      <c r="B111" s="1081" t="s">
        <v>2100</v>
      </c>
      <c r="C111" s="1112"/>
      <c r="D111" s="1112"/>
      <c r="E111" s="1112"/>
      <c r="F111" s="1112"/>
      <c r="G111" s="1112"/>
      <c r="H111" s="1112"/>
    </row>
    <row r="112" spans="1:8" s="1" customFormat="1" ht="16.5">
      <c r="A112" s="289"/>
      <c r="B112" s="1081" t="s">
        <v>2101</v>
      </c>
      <c r="C112" s="1081"/>
      <c r="D112" s="1081"/>
      <c r="E112" s="1081"/>
      <c r="F112" s="1081"/>
      <c r="G112" s="1081"/>
      <c r="H112" s="1081"/>
    </row>
    <row r="113" spans="1:8" s="1" customFormat="1" ht="15">
      <c r="A113" s="25"/>
      <c r="B113" s="1081" t="s">
        <v>2102</v>
      </c>
      <c r="C113" s="1112"/>
      <c r="D113" s="1112"/>
      <c r="E113" s="1112"/>
      <c r="F113" s="1112"/>
      <c r="G113" s="1112"/>
      <c r="H113" s="1112"/>
    </row>
    <row r="114" spans="1:8" s="1" customFormat="1" ht="15">
      <c r="B114" s="1083" t="s">
        <v>1604</v>
      </c>
      <c r="C114" s="1083"/>
      <c r="D114" s="1083"/>
      <c r="E114" s="1083"/>
      <c r="F114" s="1083"/>
      <c r="G114" s="1083"/>
      <c r="H114" s="1083"/>
    </row>
    <row r="115" spans="1:8" s="1" customFormat="1" ht="63">
      <c r="B115" s="70" t="s">
        <v>3340</v>
      </c>
      <c r="C115" s="70" t="s">
        <v>3341</v>
      </c>
      <c r="D115" s="70" t="s">
        <v>3342</v>
      </c>
      <c r="E115" s="70" t="s">
        <v>3343</v>
      </c>
      <c r="F115" s="70" t="s">
        <v>3344</v>
      </c>
      <c r="G115" s="70" t="s">
        <v>3345</v>
      </c>
      <c r="H115" s="70" t="s">
        <v>1704</v>
      </c>
    </row>
    <row r="116" spans="1:8" s="1" customFormat="1" ht="63">
      <c r="B116" s="60" t="s">
        <v>2330</v>
      </c>
      <c r="C116" s="60" t="s">
        <v>1802</v>
      </c>
      <c r="D116" s="8"/>
      <c r="E116" s="8"/>
      <c r="F116" s="111"/>
      <c r="G116" s="111"/>
      <c r="H116" s="112"/>
    </row>
    <row r="117" spans="1:8" s="1" customFormat="1" ht="31.5">
      <c r="B117" s="83" t="s">
        <v>424</v>
      </c>
      <c r="C117" s="82" t="s">
        <v>1584</v>
      </c>
      <c r="D117" s="44">
        <v>1</v>
      </c>
      <c r="E117" s="55" t="s">
        <v>3170</v>
      </c>
      <c r="F117" s="120">
        <f>'update Rate'!F212</f>
        <v>1022.2</v>
      </c>
      <c r="G117" s="113">
        <f>SUM(D117*F117)</f>
        <v>1022.2</v>
      </c>
      <c r="H117" s="9"/>
    </row>
    <row r="118" spans="1:8" s="1" customFormat="1" ht="17.25">
      <c r="B118" s="80"/>
      <c r="C118" s="80"/>
      <c r="D118" s="53"/>
      <c r="E118" s="58"/>
      <c r="F118" s="126"/>
      <c r="G118" s="126"/>
      <c r="H118" s="127">
        <f>SUM(G117)</f>
        <v>1022.2</v>
      </c>
    </row>
    <row r="119" spans="1:8" s="1" customFormat="1" ht="16.5">
      <c r="F119" s="42" t="s">
        <v>1708</v>
      </c>
      <c r="G119" s="106"/>
      <c r="H119" s="65">
        <f>SUM(H115:H118)</f>
        <v>1022.2</v>
      </c>
    </row>
    <row r="120" spans="1:8" s="1" customFormat="1" ht="16.5">
      <c r="B120" s="1" t="s">
        <v>426</v>
      </c>
      <c r="F120" s="42" t="s">
        <v>1688</v>
      </c>
      <c r="G120" s="106"/>
      <c r="H120" s="65">
        <f>FLOOR(H119*0.15,0.01)</f>
        <v>153.33000000000001</v>
      </c>
    </row>
    <row r="121" spans="1:8" s="1" customFormat="1" ht="16.5">
      <c r="A121" s="28" t="s">
        <v>3384</v>
      </c>
      <c r="B121" s="103">
        <f>+H121</f>
        <v>1175.53</v>
      </c>
      <c r="C121" s="1" t="s">
        <v>3385</v>
      </c>
      <c r="F121" s="42" t="s">
        <v>1711</v>
      </c>
      <c r="G121" s="106"/>
      <c r="H121" s="103">
        <f>SUM(H119:H120)</f>
        <v>1175.53</v>
      </c>
    </row>
    <row r="122" spans="1:8" s="1" customFormat="1" ht="17.25">
      <c r="B122" s="149"/>
      <c r="C122" s="28"/>
      <c r="D122" s="151"/>
      <c r="F122" s="42"/>
      <c r="G122" s="106"/>
      <c r="H122" s="151"/>
    </row>
    <row r="123" spans="1:8" s="1" customFormat="1" ht="15">
      <c r="A123" s="282">
        <f>+A110+1</f>
        <v>183</v>
      </c>
      <c r="B123" s="1081" t="s">
        <v>1803</v>
      </c>
      <c r="C123" s="1110"/>
      <c r="D123" s="1110"/>
      <c r="E123" s="1110"/>
      <c r="F123" s="1110"/>
      <c r="G123" s="1110"/>
      <c r="H123" s="1110"/>
    </row>
    <row r="124" spans="1:8" s="1" customFormat="1" ht="15">
      <c r="A124" s="15" t="s">
        <v>1804</v>
      </c>
      <c r="B124" s="1081" t="s">
        <v>2842</v>
      </c>
      <c r="C124" s="1112"/>
      <c r="D124" s="1112"/>
      <c r="E124" s="1112"/>
      <c r="F124" s="1112"/>
      <c r="G124" s="1112"/>
      <c r="H124" s="1112"/>
    </row>
    <row r="125" spans="1:8" s="1" customFormat="1" ht="16.5">
      <c r="A125" s="289"/>
      <c r="B125" s="1081" t="s">
        <v>1268</v>
      </c>
      <c r="C125" s="1081"/>
      <c r="D125" s="1081"/>
      <c r="E125" s="1081"/>
      <c r="F125" s="1081"/>
      <c r="G125" s="1081"/>
      <c r="H125" s="1081"/>
    </row>
    <row r="126" spans="1:8" s="1" customFormat="1" ht="15">
      <c r="A126" s="25"/>
      <c r="B126" s="1081" t="s">
        <v>2645</v>
      </c>
      <c r="C126" s="1112"/>
      <c r="D126" s="1112"/>
      <c r="E126" s="1112"/>
      <c r="F126" s="1112"/>
      <c r="G126" s="1112"/>
      <c r="H126" s="1112"/>
    </row>
    <row r="127" spans="1:8" s="1" customFormat="1" ht="15">
      <c r="B127" s="1083" t="s">
        <v>1604</v>
      </c>
      <c r="C127" s="1083"/>
      <c r="D127" s="1083"/>
      <c r="E127" s="1083"/>
      <c r="F127" s="1083"/>
      <c r="G127" s="1083"/>
      <c r="H127" s="1083"/>
    </row>
    <row r="128" spans="1:8" s="1" customFormat="1" ht="63">
      <c r="B128" s="70" t="s">
        <v>3340</v>
      </c>
      <c r="C128" s="70" t="s">
        <v>3341</v>
      </c>
      <c r="D128" s="70" t="s">
        <v>3342</v>
      </c>
      <c r="E128" s="70" t="s">
        <v>3343</v>
      </c>
      <c r="F128" s="70" t="s">
        <v>3344</v>
      </c>
      <c r="G128" s="70" t="s">
        <v>3345</v>
      </c>
      <c r="H128" s="70" t="s">
        <v>1704</v>
      </c>
    </row>
    <row r="129" spans="1:8" s="1" customFormat="1" ht="78.75">
      <c r="B129" s="60" t="s">
        <v>2330</v>
      </c>
      <c r="C129" s="60" t="s">
        <v>2646</v>
      </c>
      <c r="D129" s="8"/>
      <c r="E129" s="8"/>
      <c r="F129" s="111"/>
      <c r="G129" s="111"/>
      <c r="H129" s="112"/>
    </row>
    <row r="130" spans="1:8" s="1" customFormat="1" ht="31.5">
      <c r="B130" s="83" t="s">
        <v>424</v>
      </c>
      <c r="C130" s="82" t="s">
        <v>1584</v>
      </c>
      <c r="D130" s="44">
        <v>1</v>
      </c>
      <c r="E130" s="55" t="s">
        <v>3170</v>
      </c>
      <c r="F130" s="120">
        <f>'update Rate'!$F$213</f>
        <v>925.36</v>
      </c>
      <c r="G130" s="113">
        <f>SUM(D130*F130)</f>
        <v>925.36</v>
      </c>
      <c r="H130" s="9"/>
    </row>
    <row r="131" spans="1:8" s="1" customFormat="1" ht="17.25">
      <c r="B131" s="80"/>
      <c r="C131" s="80"/>
      <c r="D131" s="53"/>
      <c r="E131" s="58"/>
      <c r="F131" s="126"/>
      <c r="G131" s="126"/>
      <c r="H131" s="127">
        <f>SUM(G130)</f>
        <v>925.36</v>
      </c>
    </row>
    <row r="132" spans="1:8" s="1" customFormat="1" ht="16.5">
      <c r="F132" s="42" t="s">
        <v>1708</v>
      </c>
      <c r="G132" s="106"/>
      <c r="H132" s="65">
        <f>SUM(H128:H131)</f>
        <v>925.36</v>
      </c>
    </row>
    <row r="133" spans="1:8" s="1" customFormat="1" ht="16.5">
      <c r="B133" s="1" t="s">
        <v>426</v>
      </c>
      <c r="F133" s="42" t="s">
        <v>1688</v>
      </c>
      <c r="G133" s="106"/>
      <c r="H133" s="65">
        <f>FLOOR(H132*0.15,0.01)</f>
        <v>138.80000000000001</v>
      </c>
    </row>
    <row r="134" spans="1:8" s="1" customFormat="1" ht="16.5">
      <c r="A134" s="28" t="s">
        <v>3384</v>
      </c>
      <c r="B134" s="103">
        <f>+H134</f>
        <v>1064.1600000000001</v>
      </c>
      <c r="C134" s="1" t="s">
        <v>3385</v>
      </c>
      <c r="F134" s="42" t="s">
        <v>1711</v>
      </c>
      <c r="G134" s="106"/>
      <c r="H134" s="103">
        <f>SUM(H132:H133)</f>
        <v>1064.1600000000001</v>
      </c>
    </row>
    <row r="135" spans="1:8" s="1" customFormat="1" ht="16.5">
      <c r="A135" s="28"/>
      <c r="B135" s="151"/>
      <c r="F135" s="42"/>
      <c r="G135" s="106"/>
      <c r="H135" s="151"/>
    </row>
    <row r="136" spans="1:8" s="1" customFormat="1" ht="15">
      <c r="A136" s="282">
        <f>+A123+1</f>
        <v>184</v>
      </c>
      <c r="B136" s="1081" t="s">
        <v>2647</v>
      </c>
      <c r="C136" s="1110"/>
      <c r="D136" s="1110"/>
      <c r="E136" s="1110"/>
      <c r="F136" s="1110"/>
      <c r="G136" s="1110"/>
      <c r="H136" s="1110"/>
    </row>
    <row r="137" spans="1:8" s="1" customFormat="1" ht="15">
      <c r="A137" s="15" t="s">
        <v>2648</v>
      </c>
      <c r="B137" s="1081" t="s">
        <v>2100</v>
      </c>
      <c r="C137" s="1112"/>
      <c r="D137" s="1112"/>
      <c r="E137" s="1112"/>
      <c r="F137" s="1112"/>
      <c r="G137" s="1112"/>
      <c r="H137" s="1112"/>
    </row>
    <row r="138" spans="1:8" s="1" customFormat="1" ht="16.5">
      <c r="A138" s="289"/>
      <c r="B138" s="1081" t="s">
        <v>433</v>
      </c>
      <c r="C138" s="1081"/>
      <c r="D138" s="1081"/>
      <c r="E138" s="1081"/>
      <c r="F138" s="1081"/>
      <c r="G138" s="1081"/>
      <c r="H138" s="1081"/>
    </row>
    <row r="139" spans="1:8" s="1" customFormat="1" ht="15">
      <c r="A139" s="25"/>
      <c r="B139" s="1081" t="s">
        <v>2645</v>
      </c>
      <c r="C139" s="1112"/>
      <c r="D139" s="1112"/>
      <c r="E139" s="1112"/>
      <c r="F139" s="1112"/>
      <c r="G139" s="1112"/>
      <c r="H139" s="1112"/>
    </row>
    <row r="140" spans="1:8" s="1" customFormat="1" ht="15">
      <c r="B140" s="1083" t="s">
        <v>1604</v>
      </c>
      <c r="C140" s="1083"/>
      <c r="D140" s="1083"/>
      <c r="E140" s="1083"/>
      <c r="F140" s="1083"/>
      <c r="G140" s="1083"/>
      <c r="H140" s="1083"/>
    </row>
    <row r="141" spans="1:8" s="1" customFormat="1" ht="63">
      <c r="B141" s="70" t="s">
        <v>3340</v>
      </c>
      <c r="C141" s="70" t="s">
        <v>3341</v>
      </c>
      <c r="D141" s="70" t="s">
        <v>3342</v>
      </c>
      <c r="E141" s="70" t="s">
        <v>3343</v>
      </c>
      <c r="F141" s="70" t="s">
        <v>3344</v>
      </c>
      <c r="G141" s="70" t="s">
        <v>3345</v>
      </c>
      <c r="H141" s="70" t="s">
        <v>1704</v>
      </c>
    </row>
    <row r="142" spans="1:8" s="1" customFormat="1" ht="71.25">
      <c r="B142" s="60" t="s">
        <v>2330</v>
      </c>
      <c r="C142" s="251" t="s">
        <v>2759</v>
      </c>
      <c r="D142" s="8"/>
      <c r="E142" s="8"/>
      <c r="F142" s="111"/>
      <c r="G142" s="111"/>
      <c r="H142" s="112"/>
    </row>
    <row r="143" spans="1:8" s="1" customFormat="1" ht="31.5">
      <c r="B143" s="83" t="s">
        <v>424</v>
      </c>
      <c r="C143" s="82" t="s">
        <v>1584</v>
      </c>
      <c r="D143" s="44">
        <v>1</v>
      </c>
      <c r="E143" s="55" t="s">
        <v>3170</v>
      </c>
      <c r="F143" s="120">
        <f>'update Rate'!$F$214</f>
        <v>1054.48</v>
      </c>
      <c r="G143" s="113">
        <f>SUM(D143*F143)</f>
        <v>1054.48</v>
      </c>
      <c r="H143" s="9"/>
    </row>
    <row r="144" spans="1:8" s="1" customFormat="1" ht="17.25">
      <c r="B144" s="80"/>
      <c r="C144" s="80"/>
      <c r="D144" s="53"/>
      <c r="E144" s="58"/>
      <c r="F144" s="126"/>
      <c r="G144" s="126"/>
      <c r="H144" s="127">
        <f>SUM(G143)</f>
        <v>1054.48</v>
      </c>
    </row>
    <row r="145" spans="1:10" s="1" customFormat="1" ht="16.5">
      <c r="F145" s="42" t="s">
        <v>1708</v>
      </c>
      <c r="G145" s="106"/>
      <c r="H145" s="65">
        <f>SUM(H141:H144)</f>
        <v>1054.48</v>
      </c>
    </row>
    <row r="146" spans="1:10" s="1" customFormat="1" ht="26.25" customHeight="1">
      <c r="B146" s="1" t="s">
        <v>426</v>
      </c>
      <c r="F146" s="42" t="s">
        <v>1688</v>
      </c>
      <c r="G146" s="106"/>
      <c r="H146" s="65">
        <f>FLOOR(H145*0.15,0.01)</f>
        <v>158.17000000000002</v>
      </c>
    </row>
    <row r="147" spans="1:10" s="1" customFormat="1" ht="25.5" customHeight="1">
      <c r="A147" s="28" t="s">
        <v>3384</v>
      </c>
      <c r="B147" s="103">
        <f>+H147</f>
        <v>1212.6500000000001</v>
      </c>
      <c r="C147" s="1" t="s">
        <v>3385</v>
      </c>
      <c r="F147" s="42" t="s">
        <v>1711</v>
      </c>
      <c r="G147" s="106"/>
      <c r="H147" s="103">
        <f>SUM(H145:H146)</f>
        <v>1212.6500000000001</v>
      </c>
    </row>
    <row r="148" spans="1:10" s="1" customFormat="1" ht="16.5">
      <c r="A148" s="28"/>
      <c r="B148" s="151"/>
      <c r="F148" s="42"/>
      <c r="G148" s="106"/>
      <c r="H148" s="151"/>
    </row>
    <row r="149" spans="1:10" s="1" customFormat="1" ht="15">
      <c r="A149" s="282">
        <f>+A136+1</f>
        <v>185</v>
      </c>
      <c r="B149" s="1081" t="s">
        <v>796</v>
      </c>
      <c r="C149" s="1110"/>
      <c r="D149" s="1110"/>
      <c r="E149" s="1110"/>
      <c r="F149" s="1110"/>
      <c r="G149" s="1110"/>
      <c r="H149" s="1110"/>
    </row>
    <row r="150" spans="1:10" s="1" customFormat="1" ht="15">
      <c r="A150" s="15" t="s">
        <v>797</v>
      </c>
      <c r="B150" s="1081" t="s">
        <v>798</v>
      </c>
      <c r="C150" s="1112"/>
      <c r="D150" s="1112"/>
      <c r="E150" s="1112"/>
      <c r="F150" s="1112"/>
      <c r="G150" s="1112"/>
      <c r="H150" s="1112"/>
    </row>
    <row r="151" spans="1:10" s="1" customFormat="1" ht="16.5">
      <c r="A151" s="289"/>
      <c r="B151" s="1081" t="s">
        <v>3511</v>
      </c>
      <c r="C151" s="1081"/>
      <c r="D151" s="1081"/>
      <c r="E151" s="1081"/>
      <c r="F151" s="1081"/>
      <c r="G151" s="1081"/>
      <c r="H151" s="1081"/>
    </row>
    <row r="152" spans="1:10" s="1" customFormat="1" ht="15">
      <c r="A152" s="25"/>
      <c r="B152" s="1081" t="s">
        <v>3317</v>
      </c>
      <c r="C152" s="1112"/>
      <c r="D152" s="1112"/>
      <c r="E152" s="1112"/>
      <c r="F152" s="1112"/>
      <c r="G152" s="1112"/>
      <c r="H152" s="1112"/>
    </row>
    <row r="153" spans="1:10" s="1" customFormat="1" ht="20.25" customHeight="1">
      <c r="B153" s="1083" t="s">
        <v>1604</v>
      </c>
      <c r="C153" s="1083"/>
      <c r="D153" s="1083"/>
      <c r="E153" s="1083"/>
      <c r="F153" s="1083"/>
      <c r="G153" s="1083"/>
      <c r="H153" s="1083"/>
    </row>
    <row r="154" spans="1:10" s="1" customFormat="1" ht="63">
      <c r="B154" s="70" t="s">
        <v>3340</v>
      </c>
      <c r="C154" s="70" t="s">
        <v>3341</v>
      </c>
      <c r="D154" s="70" t="s">
        <v>3342</v>
      </c>
      <c r="E154" s="70" t="s">
        <v>3343</v>
      </c>
      <c r="F154" s="70" t="s">
        <v>3344</v>
      </c>
      <c r="G154" s="70" t="s">
        <v>3345</v>
      </c>
      <c r="H154" s="70" t="s">
        <v>1704</v>
      </c>
    </row>
    <row r="155" spans="1:10" s="1" customFormat="1" ht="63">
      <c r="B155" s="60" t="s">
        <v>2330</v>
      </c>
      <c r="C155" s="60" t="s">
        <v>3318</v>
      </c>
      <c r="D155" s="8"/>
      <c r="E155" s="8"/>
      <c r="F155" s="111"/>
      <c r="G155" s="111"/>
      <c r="H155" s="112"/>
      <c r="I155" s="658"/>
      <c r="J155" s="656"/>
    </row>
    <row r="156" spans="1:10" s="1" customFormat="1" ht="31.5">
      <c r="B156" s="83" t="s">
        <v>424</v>
      </c>
      <c r="C156" s="82" t="s">
        <v>1584</v>
      </c>
      <c r="D156" s="44">
        <v>1</v>
      </c>
      <c r="E156" s="55" t="s">
        <v>3170</v>
      </c>
      <c r="F156" s="120">
        <f>'update Rate'!F216</f>
        <v>1183.5999999999999</v>
      </c>
      <c r="G156" s="113">
        <f>SUM(D156*F156)</f>
        <v>1183.5999999999999</v>
      </c>
      <c r="H156" s="9"/>
      <c r="I156" s="658"/>
      <c r="J156" s="656"/>
    </row>
    <row r="157" spans="1:10" s="1" customFormat="1" ht="18.75">
      <c r="B157" s="80"/>
      <c r="C157" s="80"/>
      <c r="D157" s="53"/>
      <c r="E157" s="58"/>
      <c r="F157" s="126"/>
      <c r="G157" s="126"/>
      <c r="H157" s="127">
        <f>SUM(G156)</f>
        <v>1183.5999999999999</v>
      </c>
      <c r="I157" s="658"/>
      <c r="J157" s="656"/>
    </row>
    <row r="158" spans="1:10" s="1" customFormat="1" ht="18">
      <c r="F158" s="42" t="s">
        <v>1708</v>
      </c>
      <c r="G158" s="106"/>
      <c r="H158" s="65">
        <f>SUM(H154:H157)</f>
        <v>1183.5999999999999</v>
      </c>
      <c r="I158" s="658"/>
      <c r="J158" s="656"/>
    </row>
    <row r="159" spans="1:10" s="1" customFormat="1" ht="18">
      <c r="B159" s="1" t="s">
        <v>426</v>
      </c>
      <c r="F159" s="42" t="s">
        <v>1688</v>
      </c>
      <c r="G159" s="106"/>
      <c r="H159" s="65">
        <f>FLOOR(H158*0.15,0.01)</f>
        <v>177.54</v>
      </c>
      <c r="I159" s="658"/>
      <c r="J159" s="656"/>
    </row>
    <row r="160" spans="1:10" s="1" customFormat="1" ht="18">
      <c r="A160" s="28" t="s">
        <v>3384</v>
      </c>
      <c r="B160" s="103">
        <f>+H160</f>
        <v>1361.1399999999999</v>
      </c>
      <c r="C160" s="1" t="s">
        <v>3385</v>
      </c>
      <c r="F160" s="42" t="s">
        <v>1711</v>
      </c>
      <c r="G160" s="106"/>
      <c r="H160" s="103">
        <f>SUM(H158:H159)</f>
        <v>1361.1399999999999</v>
      </c>
      <c r="I160" s="656"/>
      <c r="J160" s="656"/>
    </row>
    <row r="161" spans="1:10" s="1" customFormat="1" ht="18">
      <c r="A161" s="28"/>
      <c r="B161" s="151"/>
      <c r="F161" s="42"/>
      <c r="G161" s="106"/>
      <c r="H161" s="151"/>
      <c r="I161" s="656"/>
      <c r="J161" s="656"/>
    </row>
    <row r="162" spans="1:10" s="1" customFormat="1" ht="15">
      <c r="A162" s="282">
        <f>+A149+1</f>
        <v>186</v>
      </c>
      <c r="B162" s="1081" t="s">
        <v>3319</v>
      </c>
      <c r="C162" s="1110"/>
      <c r="D162" s="1110"/>
      <c r="E162" s="1110"/>
      <c r="F162" s="1110"/>
      <c r="G162" s="1110"/>
      <c r="H162" s="1110"/>
      <c r="I162"/>
      <c r="J162" s="659"/>
    </row>
    <row r="163" spans="1:10" s="1" customFormat="1" ht="20.25">
      <c r="A163" s="15" t="s">
        <v>3320</v>
      </c>
      <c r="B163" s="1081" t="s">
        <v>2842</v>
      </c>
      <c r="C163" s="1112"/>
      <c r="D163" s="1112"/>
      <c r="E163" s="1112"/>
      <c r="F163" s="1112"/>
      <c r="G163" s="1112"/>
      <c r="H163" s="1112"/>
      <c r="I163" s="661"/>
      <c r="J163" s="99"/>
    </row>
    <row r="164" spans="1:10" s="1" customFormat="1" ht="20.25">
      <c r="A164" s="279"/>
      <c r="B164" s="1081" t="s">
        <v>3511</v>
      </c>
      <c r="C164" s="1081"/>
      <c r="D164" s="1081"/>
      <c r="E164" s="1081"/>
      <c r="F164" s="1081"/>
      <c r="G164" s="1081"/>
      <c r="H164" s="1081"/>
      <c r="I164" s="661"/>
      <c r="J164" s="99"/>
    </row>
    <row r="165" spans="1:10" s="1" customFormat="1" ht="20.25">
      <c r="A165" s="25"/>
      <c r="B165" s="1081" t="s">
        <v>1698</v>
      </c>
      <c r="C165" s="1112"/>
      <c r="D165" s="1112"/>
      <c r="E165" s="1112"/>
      <c r="F165" s="1112"/>
      <c r="G165" s="1112"/>
      <c r="H165" s="1112"/>
      <c r="I165" s="661"/>
      <c r="J165" s="99"/>
    </row>
    <row r="166" spans="1:10" s="1" customFormat="1" ht="37.5" customHeight="1">
      <c r="B166" s="1083" t="s">
        <v>1604</v>
      </c>
      <c r="C166" s="1083"/>
      <c r="D166" s="1083"/>
      <c r="E166" s="1083"/>
      <c r="F166" s="1083"/>
      <c r="G166" s="1083"/>
      <c r="H166" s="1083"/>
      <c r="I166" s="661"/>
      <c r="J166" s="99"/>
    </row>
    <row r="167" spans="1:10" s="1" customFormat="1" ht="63">
      <c r="B167" s="70" t="s">
        <v>3340</v>
      </c>
      <c r="C167" s="70" t="s">
        <v>3341</v>
      </c>
      <c r="D167" s="70" t="s">
        <v>3342</v>
      </c>
      <c r="E167" s="70" t="s">
        <v>3343</v>
      </c>
      <c r="F167" s="70" t="s">
        <v>3344</v>
      </c>
      <c r="G167" s="70" t="s">
        <v>3345</v>
      </c>
      <c r="H167" s="70" t="s">
        <v>1704</v>
      </c>
      <c r="I167" s="661"/>
      <c r="J167" s="99"/>
    </row>
    <row r="168" spans="1:10" s="1" customFormat="1" ht="94.5">
      <c r="B168" s="60" t="s">
        <v>2330</v>
      </c>
      <c r="C168" s="60" t="s">
        <v>1699</v>
      </c>
      <c r="D168" s="8"/>
      <c r="E168" s="8"/>
      <c r="F168" s="111"/>
      <c r="G168" s="111"/>
      <c r="H168" s="112"/>
      <c r="I168" s="661"/>
      <c r="J168" s="99"/>
    </row>
    <row r="169" spans="1:10" s="1" customFormat="1" ht="31.5">
      <c r="B169" s="83" t="s">
        <v>424</v>
      </c>
      <c r="C169" s="82" t="s">
        <v>1584</v>
      </c>
      <c r="D169" s="44">
        <v>1</v>
      </c>
      <c r="E169" s="55" t="s">
        <v>3170</v>
      </c>
      <c r="F169" s="120">
        <f>'update Rate'!$F$215</f>
        <v>785.48</v>
      </c>
      <c r="G169" s="113">
        <f>SUM(D169*F169)</f>
        <v>785.48</v>
      </c>
      <c r="H169" s="9"/>
      <c r="I169" s="661"/>
      <c r="J169" s="99"/>
    </row>
    <row r="170" spans="1:10" s="1" customFormat="1" ht="20.25">
      <c r="B170" s="80"/>
      <c r="C170" s="80"/>
      <c r="D170" s="53"/>
      <c r="E170" s="58"/>
      <c r="F170" s="126"/>
      <c r="G170" s="126"/>
      <c r="H170" s="127">
        <f>SUM(G169)</f>
        <v>785.48</v>
      </c>
      <c r="I170" s="661"/>
      <c r="J170" s="99"/>
    </row>
    <row r="171" spans="1:10" s="1" customFormat="1" ht="20.25">
      <c r="F171" s="42" t="s">
        <v>1708</v>
      </c>
      <c r="G171" s="106"/>
      <c r="H171" s="65">
        <f>SUM(H167:H170)</f>
        <v>785.48</v>
      </c>
      <c r="I171" s="661"/>
      <c r="J171" s="99"/>
    </row>
    <row r="172" spans="1:10" s="1" customFormat="1" ht="20.25">
      <c r="B172" s="1" t="s">
        <v>426</v>
      </c>
      <c r="F172" s="42" t="s">
        <v>1688</v>
      </c>
      <c r="G172" s="106"/>
      <c r="H172" s="65">
        <f>FLOOR(H171*0.15,0.01)</f>
        <v>117.82000000000001</v>
      </c>
      <c r="I172" s="661"/>
      <c r="J172" s="99"/>
    </row>
    <row r="173" spans="1:10" s="1" customFormat="1" ht="16.5">
      <c r="A173" s="28" t="s">
        <v>3384</v>
      </c>
      <c r="B173" s="103">
        <f>+H173</f>
        <v>903.30000000000007</v>
      </c>
      <c r="C173" s="1" t="s">
        <v>3385</v>
      </c>
      <c r="F173" s="42" t="s">
        <v>1711</v>
      </c>
      <c r="G173" s="106"/>
      <c r="H173" s="103">
        <f>SUM(H171:H172)</f>
        <v>903.30000000000007</v>
      </c>
      <c r="I173"/>
      <c r="J173"/>
    </row>
    <row r="174" spans="1:10" s="1" customFormat="1" ht="16.5">
      <c r="A174" s="222"/>
      <c r="B174" s="151"/>
      <c r="F174" s="42"/>
      <c r="G174" s="106"/>
      <c r="H174" s="151"/>
      <c r="I174"/>
      <c r="J174"/>
    </row>
    <row r="175" spans="1:10" s="1" customFormat="1" ht="16.5">
      <c r="A175" s="257"/>
      <c r="B175" s="151"/>
      <c r="F175" s="42"/>
      <c r="G175" s="106"/>
      <c r="H175" s="151"/>
    </row>
    <row r="176" spans="1:10" s="1" customFormat="1" ht="16.5">
      <c r="A176" s="28"/>
      <c r="B176" s="151"/>
      <c r="F176" s="42"/>
      <c r="G176" s="106"/>
      <c r="H176" s="151"/>
    </row>
    <row r="177" spans="1:8" s="1" customFormat="1" ht="15">
      <c r="A177" s="145">
        <f>+'Update Descrip'!A3646+1</f>
        <v>230</v>
      </c>
      <c r="B177" s="1081"/>
      <c r="C177" s="1110"/>
      <c r="D177" s="1110"/>
      <c r="E177" s="1110"/>
      <c r="F177" s="1110"/>
      <c r="G177" s="1110"/>
      <c r="H177" s="1110"/>
    </row>
    <row r="178" spans="1:8" s="1" customFormat="1" ht="15">
      <c r="A178" s="15"/>
      <c r="B178" s="1081" t="s">
        <v>1700</v>
      </c>
      <c r="C178" s="1112"/>
      <c r="D178" s="1112"/>
      <c r="E178" s="1112"/>
      <c r="F178" s="1112"/>
      <c r="G178" s="1112"/>
      <c r="H178" s="1112"/>
    </row>
    <row r="179" spans="1:8" s="1" customFormat="1" ht="15">
      <c r="A179" s="212"/>
      <c r="B179" s="1081" t="s">
        <v>1701</v>
      </c>
      <c r="C179" s="1081"/>
      <c r="D179" s="1081"/>
      <c r="E179" s="1081"/>
      <c r="F179" s="1081"/>
      <c r="G179" s="1081"/>
      <c r="H179" s="1081"/>
    </row>
    <row r="180" spans="1:8" s="1" customFormat="1" ht="15">
      <c r="A180" s="25"/>
      <c r="B180" s="1081" t="s">
        <v>1702</v>
      </c>
      <c r="C180" s="1112"/>
      <c r="D180" s="1112"/>
      <c r="E180" s="1112"/>
      <c r="F180" s="1112"/>
      <c r="G180" s="1112"/>
      <c r="H180" s="1112"/>
    </row>
    <row r="181" spans="1:8" s="1" customFormat="1" ht="15">
      <c r="B181" s="1083" t="s">
        <v>1604</v>
      </c>
      <c r="C181" s="1083"/>
      <c r="D181" s="1083"/>
      <c r="E181" s="1083"/>
      <c r="F181" s="1083"/>
      <c r="G181" s="1083"/>
      <c r="H181" s="1083"/>
    </row>
    <row r="182" spans="1:8" s="1" customFormat="1" ht="63">
      <c r="B182" s="70" t="s">
        <v>3340</v>
      </c>
      <c r="C182" s="70" t="s">
        <v>3341</v>
      </c>
      <c r="D182" s="70" t="s">
        <v>3342</v>
      </c>
      <c r="E182" s="70" t="s">
        <v>3343</v>
      </c>
      <c r="F182" s="70" t="s">
        <v>3344</v>
      </c>
      <c r="G182" s="70" t="s">
        <v>3345</v>
      </c>
      <c r="H182" s="70" t="s">
        <v>1704</v>
      </c>
    </row>
    <row r="183" spans="1:8" s="1" customFormat="1" ht="63">
      <c r="B183" s="60" t="s">
        <v>2330</v>
      </c>
      <c r="C183" s="60" t="s">
        <v>1703</v>
      </c>
      <c r="D183" s="8"/>
      <c r="E183" s="8"/>
      <c r="F183" s="111"/>
      <c r="G183" s="111"/>
      <c r="H183" s="112"/>
    </row>
    <row r="184" spans="1:8" s="1" customFormat="1" ht="31.5">
      <c r="B184" s="83" t="s">
        <v>424</v>
      </c>
      <c r="C184" s="82" t="s">
        <v>1584</v>
      </c>
      <c r="D184" s="44">
        <v>1</v>
      </c>
      <c r="E184" s="55" t="s">
        <v>3170</v>
      </c>
      <c r="F184" s="120">
        <f>'update Rate'!$F$217</f>
        <v>1474.12</v>
      </c>
      <c r="G184" s="113">
        <f>FLOOR(D184*F184,0.01)</f>
        <v>1474.1200000000001</v>
      </c>
      <c r="H184" s="9"/>
    </row>
    <row r="185" spans="1:8" s="1" customFormat="1" ht="17.25">
      <c r="B185" s="80"/>
      <c r="C185" s="80"/>
      <c r="D185" s="53"/>
      <c r="E185" s="58"/>
      <c r="F185" s="126"/>
      <c r="G185" s="126"/>
      <c r="H185" s="127">
        <f>SUM(G184)</f>
        <v>1474.1200000000001</v>
      </c>
    </row>
    <row r="186" spans="1:8" s="1" customFormat="1" ht="16.5">
      <c r="F186" s="42" t="s">
        <v>1708</v>
      </c>
      <c r="G186" s="106"/>
      <c r="H186" s="65">
        <f>SUM(H182:H185)</f>
        <v>1474.1200000000001</v>
      </c>
    </row>
    <row r="187" spans="1:8" s="1" customFormat="1" ht="16.5">
      <c r="B187" s="1" t="s">
        <v>426</v>
      </c>
      <c r="F187" s="42" t="s">
        <v>1688</v>
      </c>
      <c r="G187" s="106"/>
      <c r="H187" s="65">
        <f>FLOOR(H186*0.15,0.01)</f>
        <v>221.11</v>
      </c>
    </row>
    <row r="188" spans="1:8" s="1" customFormat="1" ht="16.5">
      <c r="A188" s="28" t="s">
        <v>3384</v>
      </c>
      <c r="B188" s="103">
        <f>+H188</f>
        <v>1695.23</v>
      </c>
      <c r="C188" s="1" t="s">
        <v>3385</v>
      </c>
      <c r="F188" s="42" t="s">
        <v>1711</v>
      </c>
      <c r="G188" s="106"/>
      <c r="H188" s="103">
        <f>SUM(H186:H187)</f>
        <v>1695.23</v>
      </c>
    </row>
    <row r="189" spans="1:8" s="1" customFormat="1" ht="16.5">
      <c r="A189" s="28"/>
      <c r="B189" s="151"/>
      <c r="F189" s="42"/>
      <c r="G189" s="106"/>
      <c r="H189" s="151"/>
    </row>
    <row r="190" spans="1:8" s="1" customFormat="1" ht="16.5">
      <c r="A190" s="28"/>
      <c r="B190" s="151"/>
      <c r="F190" s="42"/>
      <c r="G190" s="106"/>
      <c r="H190" s="151"/>
    </row>
    <row r="191" spans="1:8" s="1" customFormat="1" ht="16.5">
      <c r="A191" s="28"/>
      <c r="B191" s="151"/>
      <c r="F191" s="42"/>
      <c r="G191" s="106"/>
      <c r="H191" s="151"/>
    </row>
    <row r="192" spans="1:8" s="1" customFormat="1" ht="16.5">
      <c r="A192" s="28"/>
      <c r="B192" s="151"/>
      <c r="F192" s="42"/>
      <c r="G192" s="106"/>
      <c r="H192" s="151"/>
    </row>
    <row r="193" spans="1:8" s="1" customFormat="1" ht="16.5">
      <c r="A193" s="28"/>
      <c r="B193" s="151"/>
      <c r="F193" s="42"/>
      <c r="G193" s="106"/>
      <c r="H193" s="151"/>
    </row>
    <row r="194" spans="1:8" s="1" customFormat="1" ht="16.5">
      <c r="A194" s="28"/>
      <c r="B194" s="151"/>
      <c r="F194" s="42"/>
      <c r="G194" s="106"/>
      <c r="H194" s="151"/>
    </row>
    <row r="195" spans="1:8" s="1" customFormat="1" ht="16.5">
      <c r="A195" s="28"/>
      <c r="B195" s="151"/>
      <c r="F195" s="42"/>
      <c r="G195" s="106"/>
      <c r="H195" s="151"/>
    </row>
    <row r="196" spans="1:8" s="1" customFormat="1" ht="16.5">
      <c r="A196" s="28"/>
      <c r="B196" s="151"/>
      <c r="F196" s="42"/>
      <c r="G196" s="106"/>
      <c r="H196" s="151"/>
    </row>
    <row r="197" spans="1:8" s="1" customFormat="1" ht="17.25">
      <c r="B197" s="209"/>
      <c r="C197" s="233"/>
      <c r="D197" s="209"/>
      <c r="F197" s="42"/>
      <c r="G197" s="42"/>
      <c r="H197" s="19"/>
    </row>
    <row r="198" spans="1:8" s="1" customFormat="1" ht="17.25">
      <c r="B198" s="209"/>
      <c r="C198" s="233"/>
      <c r="D198" s="209"/>
      <c r="F198" s="42"/>
      <c r="G198" s="42"/>
      <c r="H198" s="19"/>
    </row>
    <row r="199" spans="1:8" s="1" customFormat="1" ht="17.25">
      <c r="B199" s="209"/>
      <c r="C199" s="233"/>
      <c r="D199" s="209"/>
      <c r="F199" s="42"/>
      <c r="G199" s="42"/>
      <c r="H199" s="19"/>
    </row>
    <row r="200" spans="1:8" s="1" customFormat="1" ht="17.25">
      <c r="B200" s="209"/>
      <c r="C200" s="233"/>
      <c r="D200" s="209"/>
      <c r="F200" s="42"/>
      <c r="G200" s="42"/>
      <c r="H200" s="19"/>
    </row>
    <row r="201" spans="1:8" s="1" customFormat="1" ht="17.25">
      <c r="B201" s="209"/>
      <c r="C201" s="233"/>
      <c r="D201" s="209"/>
      <c r="F201" s="42"/>
      <c r="G201" s="42"/>
      <c r="H201" s="19"/>
    </row>
    <row r="202" spans="1:8" s="1" customFormat="1" ht="17.25">
      <c r="A202" s="28"/>
      <c r="B202" s="149"/>
      <c r="F202" s="42"/>
      <c r="G202" s="106"/>
      <c r="H202" s="151"/>
    </row>
    <row r="203" spans="1:8" s="1" customFormat="1" ht="16.5">
      <c r="A203" s="28"/>
      <c r="B203" s="151"/>
      <c r="F203" s="42"/>
      <c r="G203" s="106"/>
      <c r="H203" s="151"/>
    </row>
    <row r="204" spans="1:8" s="1" customFormat="1" ht="19.5">
      <c r="A204" s="145">
        <f>+'Update Descrip'!A2481+1</f>
        <v>147</v>
      </c>
      <c r="B204" s="1076" t="s">
        <v>1072</v>
      </c>
      <c r="C204" s="1077"/>
      <c r="D204" s="1077"/>
      <c r="E204" s="1077"/>
      <c r="F204" s="1077"/>
      <c r="G204" s="1077"/>
      <c r="H204" s="1077"/>
    </row>
    <row r="205" spans="1:8" s="1" customFormat="1" ht="15">
      <c r="A205" s="15"/>
      <c r="B205" s="1075" t="s">
        <v>1590</v>
      </c>
      <c r="C205" s="1075"/>
      <c r="D205" s="1075"/>
      <c r="E205" s="1075"/>
      <c r="F205" s="1075"/>
      <c r="G205" s="1075"/>
      <c r="H205" s="1075"/>
    </row>
    <row r="206" spans="1:8" s="1" customFormat="1" ht="63">
      <c r="B206" s="70" t="s">
        <v>3340</v>
      </c>
      <c r="C206" s="70" t="s">
        <v>3341</v>
      </c>
      <c r="D206" s="70" t="s">
        <v>3342</v>
      </c>
      <c r="E206" s="60" t="s">
        <v>3343</v>
      </c>
      <c r="F206" s="70" t="s">
        <v>3344</v>
      </c>
      <c r="G206" s="70" t="s">
        <v>3345</v>
      </c>
      <c r="H206" s="70" t="s">
        <v>1704</v>
      </c>
    </row>
    <row r="207" spans="1:8" s="1" customFormat="1" ht="31.5">
      <c r="B207" s="1067" t="s">
        <v>442</v>
      </c>
      <c r="C207" s="82" t="s">
        <v>1074</v>
      </c>
      <c r="D207" s="276">
        <v>1</v>
      </c>
      <c r="E207" s="57" t="s">
        <v>2338</v>
      </c>
      <c r="F207" s="274">
        <f>'update Rate'!$F$196</f>
        <v>16866.3</v>
      </c>
      <c r="G207" s="120">
        <f>FLOOR(D207*F207,0.01)</f>
        <v>16866.3</v>
      </c>
      <c r="H207" s="125"/>
    </row>
    <row r="208" spans="1:8" s="1" customFormat="1" ht="17.25">
      <c r="B208" s="1096"/>
      <c r="C208" s="82"/>
      <c r="D208" s="273"/>
      <c r="E208" s="55"/>
      <c r="F208" s="274"/>
      <c r="G208" s="120"/>
      <c r="H208" s="125"/>
    </row>
    <row r="209" spans="1:8" s="1" customFormat="1" ht="17.25">
      <c r="B209" s="1068"/>
      <c r="C209" s="80"/>
      <c r="D209" s="275"/>
      <c r="E209" s="58"/>
      <c r="F209" s="198"/>
      <c r="G209" s="126"/>
      <c r="H209" s="127">
        <f>SUM(G207+G208+G209)</f>
        <v>16866.3</v>
      </c>
    </row>
    <row r="210" spans="1:8" s="1" customFormat="1" ht="16.5">
      <c r="F210" s="1" t="s">
        <v>1708</v>
      </c>
      <c r="G210" s="106"/>
      <c r="H210" s="65">
        <f>SUM(H207:H209)</f>
        <v>16866.3</v>
      </c>
    </row>
    <row r="211" spans="1:8" s="1" customFormat="1" ht="16.5">
      <c r="B211" s="1" t="s">
        <v>1710</v>
      </c>
      <c r="F211" s="1" t="s">
        <v>1688</v>
      </c>
      <c r="G211" s="106"/>
      <c r="H211" s="103">
        <f>FLOOR(H210*0.15,0.01)</f>
        <v>2529.94</v>
      </c>
    </row>
    <row r="212" spans="1:8" s="1" customFormat="1" ht="16.5">
      <c r="A212" s="28"/>
      <c r="B212" s="147">
        <f>+H212</f>
        <v>19396.239999999998</v>
      </c>
      <c r="C212" s="28" t="s">
        <v>3384</v>
      </c>
      <c r="D212" s="103">
        <f>FLOOR(B212/B213,0.01)</f>
        <v>19396.240000000002</v>
      </c>
      <c r="E212" s="1" t="s">
        <v>3385</v>
      </c>
      <c r="F212" s="1" t="s">
        <v>1711</v>
      </c>
      <c r="G212" s="106"/>
      <c r="H212" s="103">
        <f>SUM(H210:H211)</f>
        <v>19396.239999999998</v>
      </c>
    </row>
    <row r="213" spans="1:8" s="1" customFormat="1" ht="16.5">
      <c r="B213" s="149">
        <v>1</v>
      </c>
    </row>
    <row r="214" spans="1:8" s="1" customFormat="1" ht="16.5">
      <c r="B214" s="149"/>
    </row>
    <row r="215" spans="1:8" s="1" customFormat="1" ht="16.5">
      <c r="B215" s="149"/>
    </row>
    <row r="216" spans="1:8" s="1" customFormat="1" ht="16.5">
      <c r="B216" s="149"/>
    </row>
    <row r="217" spans="1:8" s="1" customFormat="1" ht="19.5">
      <c r="A217" s="145">
        <f>+A204+1</f>
        <v>148</v>
      </c>
      <c r="B217" s="1076" t="s">
        <v>3640</v>
      </c>
      <c r="C217" s="1077"/>
      <c r="D217" s="1077"/>
      <c r="E217" s="1077"/>
      <c r="F217" s="1077"/>
      <c r="G217" s="1077"/>
      <c r="H217" s="1077"/>
    </row>
    <row r="218" spans="1:8" s="1" customFormat="1" ht="15">
      <c r="A218" s="15"/>
      <c r="B218" s="1075" t="s">
        <v>1590</v>
      </c>
      <c r="C218" s="1075"/>
      <c r="D218" s="1075"/>
      <c r="E218" s="1075"/>
      <c r="F218" s="1075"/>
      <c r="G218" s="1075"/>
      <c r="H218" s="1075"/>
    </row>
    <row r="219" spans="1:8" s="1" customFormat="1" ht="63">
      <c r="B219" s="70" t="s">
        <v>3340</v>
      </c>
      <c r="C219" s="70" t="s">
        <v>3341</v>
      </c>
      <c r="D219" s="70" t="s">
        <v>3342</v>
      </c>
      <c r="E219" s="60" t="s">
        <v>3343</v>
      </c>
      <c r="F219" s="70" t="s">
        <v>3344</v>
      </c>
      <c r="G219" s="70" t="s">
        <v>3345</v>
      </c>
      <c r="H219" s="70" t="s">
        <v>1704</v>
      </c>
    </row>
    <row r="220" spans="1:8" s="1" customFormat="1" ht="31.5">
      <c r="B220" s="1067" t="s">
        <v>442</v>
      </c>
      <c r="C220" s="82" t="s">
        <v>1073</v>
      </c>
      <c r="D220" s="276">
        <v>1</v>
      </c>
      <c r="E220" s="57" t="s">
        <v>2338</v>
      </c>
      <c r="F220" s="274">
        <f>'update Rate'!$F$197</f>
        <v>5622.0999999999995</v>
      </c>
      <c r="G220" s="120">
        <f>FLOOR(D220*F220,0.01)</f>
        <v>5622.1</v>
      </c>
      <c r="H220" s="125"/>
    </row>
    <row r="221" spans="1:8" s="1" customFormat="1" ht="31.5">
      <c r="B221" s="1096"/>
      <c r="C221" s="82" t="s">
        <v>3641</v>
      </c>
      <c r="D221" s="273"/>
      <c r="E221" s="55"/>
      <c r="F221" s="274"/>
      <c r="G221" s="120"/>
      <c r="H221" s="125"/>
    </row>
    <row r="222" spans="1:8" s="1" customFormat="1" ht="17.25">
      <c r="B222" s="1068"/>
      <c r="C222" s="80"/>
      <c r="D222" s="275"/>
      <c r="E222" s="58"/>
      <c r="F222" s="198"/>
      <c r="G222" s="126"/>
      <c r="H222" s="127">
        <f>SUM(G220+G221+G222)</f>
        <v>5622.1</v>
      </c>
    </row>
    <row r="223" spans="1:8" s="1" customFormat="1" ht="16.5">
      <c r="F223" s="1" t="s">
        <v>1708</v>
      </c>
      <c r="G223" s="106"/>
      <c r="H223" s="65">
        <f>SUM(H220:H222)</f>
        <v>5622.1</v>
      </c>
    </row>
    <row r="224" spans="1:8" s="1" customFormat="1" ht="16.5">
      <c r="B224" s="1" t="s">
        <v>1710</v>
      </c>
      <c r="F224" s="1" t="s">
        <v>1688</v>
      </c>
      <c r="G224" s="106"/>
      <c r="H224" s="103">
        <f>FLOOR(H223*0.15,0.01)</f>
        <v>843.31000000000006</v>
      </c>
    </row>
    <row r="225" spans="1:8" s="1" customFormat="1" ht="16.5">
      <c r="A225" s="28"/>
      <c r="B225" s="147">
        <f>+H225</f>
        <v>6465.4100000000008</v>
      </c>
      <c r="C225" s="28" t="s">
        <v>3384</v>
      </c>
      <c r="D225" s="103">
        <f>FLOOR(B225/B226,0.01)</f>
        <v>6465.41</v>
      </c>
      <c r="E225" s="1" t="s">
        <v>3385</v>
      </c>
      <c r="F225" s="1" t="s">
        <v>1711</v>
      </c>
      <c r="G225" s="106"/>
      <c r="H225" s="103">
        <f>SUM(H223:H224)</f>
        <v>6465.4100000000008</v>
      </c>
    </row>
    <row r="226" spans="1:8" s="1" customFormat="1" ht="16.5">
      <c r="B226" s="149">
        <v>1</v>
      </c>
    </row>
    <row r="227" spans="1:8" s="1" customFormat="1" ht="15"/>
    <row r="228" spans="1:8" s="1" customFormat="1" ht="15"/>
    <row r="229" spans="1:8" s="1" customFormat="1" ht="15"/>
    <row r="230" spans="1:8" s="1" customFormat="1" ht="16.5">
      <c r="A230" s="28"/>
      <c r="B230" s="151"/>
      <c r="F230" s="42"/>
      <c r="G230" s="106"/>
      <c r="H230" s="151"/>
    </row>
    <row r="231" spans="1:8" s="1" customFormat="1" ht="15">
      <c r="A231" s="463">
        <f>Sheet1!A636+1</f>
        <v>124</v>
      </c>
      <c r="B231" s="1080"/>
      <c r="C231" s="1081"/>
      <c r="D231" s="1081"/>
      <c r="E231" s="1081"/>
      <c r="F231" s="1081"/>
      <c r="G231" s="1081"/>
      <c r="H231" s="1081"/>
    </row>
    <row r="232" spans="1:8" s="1" customFormat="1" ht="15">
      <c r="A232" s="12"/>
      <c r="B232" s="1211" t="s">
        <v>7</v>
      </c>
      <c r="C232" s="1212"/>
      <c r="D232" s="1212"/>
      <c r="E232" s="1212"/>
      <c r="F232" s="1212"/>
      <c r="G232" s="1212"/>
      <c r="H232" s="1212"/>
    </row>
    <row r="233" spans="1:8" s="1" customFormat="1" ht="15">
      <c r="A233" s="22"/>
      <c r="B233" s="1080"/>
      <c r="C233" s="1081"/>
      <c r="D233" s="1081"/>
      <c r="E233" s="1081"/>
      <c r="F233" s="1081"/>
      <c r="G233" s="1081"/>
      <c r="H233" s="1081"/>
    </row>
    <row r="234" spans="1:8" s="1" customFormat="1" ht="15">
      <c r="A234" s="92"/>
      <c r="B234" s="223"/>
      <c r="C234" s="223"/>
      <c r="D234" s="223"/>
      <c r="E234" s="223"/>
      <c r="F234" s="223"/>
      <c r="G234" s="223"/>
      <c r="H234" s="223"/>
    </row>
    <row r="235" spans="1:8" s="1" customFormat="1" ht="15">
      <c r="B235" s="283" t="s">
        <v>1604</v>
      </c>
      <c r="C235" s="283"/>
      <c r="D235" s="283"/>
      <c r="E235" s="283"/>
      <c r="F235" s="283"/>
      <c r="G235" s="283"/>
      <c r="H235" s="283"/>
    </row>
    <row r="236" spans="1:8" s="1" customFormat="1" ht="63">
      <c r="B236" s="70" t="s">
        <v>3340</v>
      </c>
      <c r="C236" s="70" t="s">
        <v>3341</v>
      </c>
      <c r="D236" s="70" t="s">
        <v>3342</v>
      </c>
      <c r="E236" s="70" t="s">
        <v>3343</v>
      </c>
      <c r="F236" s="70" t="s">
        <v>3344</v>
      </c>
      <c r="G236" s="70" t="s">
        <v>3345</v>
      </c>
      <c r="H236" s="70" t="s">
        <v>1704</v>
      </c>
    </row>
    <row r="237" spans="1:8" s="1" customFormat="1" ht="94.5">
      <c r="B237" s="60" t="s">
        <v>2330</v>
      </c>
      <c r="C237" s="285" t="s">
        <v>8</v>
      </c>
      <c r="D237" s="8"/>
      <c r="E237" s="8"/>
      <c r="F237" s="111"/>
      <c r="G237" s="111"/>
      <c r="H237" s="112"/>
    </row>
    <row r="238" spans="1:8" s="1" customFormat="1" ht="31.5">
      <c r="B238" s="83" t="s">
        <v>424</v>
      </c>
      <c r="C238" s="82" t="s">
        <v>1584</v>
      </c>
      <c r="D238" s="44">
        <v>1</v>
      </c>
      <c r="E238" s="55" t="s">
        <v>3170</v>
      </c>
      <c r="F238" s="120">
        <f>'update Rate'!F331</f>
        <v>1508</v>
      </c>
      <c r="G238" s="113">
        <f>FLOOR(D238*F238,0.01)</f>
        <v>1508</v>
      </c>
      <c r="H238" s="9"/>
    </row>
    <row r="239" spans="1:8" s="1" customFormat="1" ht="17.25">
      <c r="B239" s="80"/>
      <c r="C239" s="80"/>
      <c r="D239" s="53"/>
      <c r="E239" s="58"/>
      <c r="F239" s="126"/>
      <c r="G239" s="126"/>
      <c r="H239" s="127">
        <f>SUM(G238)</f>
        <v>1508</v>
      </c>
    </row>
    <row r="240" spans="1:8" s="1" customFormat="1" ht="16.5">
      <c r="F240" s="42" t="s">
        <v>1708</v>
      </c>
      <c r="G240" s="106"/>
      <c r="H240" s="65">
        <f>SUM(H236:H239)</f>
        <v>1508</v>
      </c>
    </row>
    <row r="241" spans="1:8" s="1" customFormat="1" ht="16.5">
      <c r="B241" s="1" t="s">
        <v>426</v>
      </c>
      <c r="F241" s="42" t="s">
        <v>1688</v>
      </c>
      <c r="G241" s="106"/>
      <c r="H241" s="65">
        <f>FLOOR(H240*0.15,0.01)</f>
        <v>226.20000000000002</v>
      </c>
    </row>
    <row r="242" spans="1:8" s="1" customFormat="1" ht="16.5">
      <c r="A242" s="28" t="s">
        <v>3384</v>
      </c>
      <c r="B242" s="103">
        <f>+H242</f>
        <v>1734.2</v>
      </c>
      <c r="C242" s="1" t="s">
        <v>3385</v>
      </c>
      <c r="F242" s="42" t="s">
        <v>1711</v>
      </c>
      <c r="G242" s="106"/>
      <c r="H242" s="103">
        <f>SUM(H240:H241)</f>
        <v>1734.2</v>
      </c>
    </row>
    <row r="243" spans="1:8" s="1" customFormat="1" ht="16.5">
      <c r="A243" s="28"/>
      <c r="B243" s="194"/>
      <c r="F243" s="42"/>
      <c r="G243" s="106"/>
      <c r="H243" s="151"/>
    </row>
    <row r="244" spans="1:8" s="1" customFormat="1" ht="16.5">
      <c r="A244" s="28"/>
      <c r="B244" s="194"/>
      <c r="F244" s="42"/>
      <c r="G244" s="106"/>
      <c r="H244" s="151"/>
    </row>
    <row r="245" spans="1:8" s="1" customFormat="1" ht="15">
      <c r="A245" s="463">
        <f>A231+1</f>
        <v>125</v>
      </c>
      <c r="B245" s="1080"/>
      <c r="C245" s="1081"/>
      <c r="D245" s="1081"/>
      <c r="E245" s="1081"/>
      <c r="F245" s="1081"/>
      <c r="G245" s="1081"/>
      <c r="H245" s="1081"/>
    </row>
    <row r="246" spans="1:8" s="1" customFormat="1" ht="15">
      <c r="A246" s="12"/>
      <c r="B246" s="1211" t="s">
        <v>9</v>
      </c>
      <c r="C246" s="1212"/>
      <c r="D246" s="1212"/>
      <c r="E246" s="1212"/>
      <c r="F246" s="1212"/>
      <c r="G246" s="1212"/>
      <c r="H246" s="1212"/>
    </row>
    <row r="247" spans="1:8" s="1" customFormat="1" ht="15">
      <c r="A247" s="22"/>
      <c r="B247" s="1080"/>
      <c r="C247" s="1081"/>
      <c r="D247" s="1081"/>
      <c r="E247" s="1081"/>
      <c r="F247" s="1081"/>
      <c r="G247" s="1081"/>
      <c r="H247" s="1081"/>
    </row>
    <row r="248" spans="1:8" s="1" customFormat="1" ht="15">
      <c r="A248" s="92"/>
      <c r="B248" s="223"/>
      <c r="C248" s="223"/>
      <c r="D248" s="223"/>
      <c r="E248" s="223"/>
      <c r="F248" s="223"/>
      <c r="G248" s="223"/>
      <c r="H248" s="223"/>
    </row>
    <row r="249" spans="1:8" s="1" customFormat="1" ht="15">
      <c r="B249" s="283" t="s">
        <v>1604</v>
      </c>
      <c r="C249" s="283"/>
      <c r="D249" s="283"/>
      <c r="E249" s="283"/>
      <c r="F249" s="283"/>
      <c r="G249" s="283"/>
      <c r="H249" s="283"/>
    </row>
    <row r="250" spans="1:8" s="1" customFormat="1" ht="63">
      <c r="B250" s="70" t="s">
        <v>3340</v>
      </c>
      <c r="C250" s="70" t="s">
        <v>3341</v>
      </c>
      <c r="D250" s="70" t="s">
        <v>3342</v>
      </c>
      <c r="E250" s="70" t="s">
        <v>3343</v>
      </c>
      <c r="F250" s="70" t="s">
        <v>3344</v>
      </c>
      <c r="G250" s="70" t="s">
        <v>3345</v>
      </c>
      <c r="H250" s="70" t="s">
        <v>1704</v>
      </c>
    </row>
    <row r="251" spans="1:8" s="1" customFormat="1" ht="94.5">
      <c r="B251" s="60" t="s">
        <v>2330</v>
      </c>
      <c r="C251" s="285" t="s">
        <v>10</v>
      </c>
      <c r="D251" s="8"/>
      <c r="E251" s="8"/>
      <c r="F251" s="111"/>
      <c r="G251" s="111"/>
      <c r="H251" s="112"/>
    </row>
    <row r="252" spans="1:8" s="1" customFormat="1" ht="31.5">
      <c r="B252" s="83" t="s">
        <v>424</v>
      </c>
      <c r="C252" s="82" t="s">
        <v>1584</v>
      </c>
      <c r="D252" s="44">
        <v>1</v>
      </c>
      <c r="E252" s="55" t="s">
        <v>3170</v>
      </c>
      <c r="F252" s="120">
        <f>'update Rate'!F332</f>
        <v>1167.46</v>
      </c>
      <c r="G252" s="113">
        <f>FLOOR(D252*F252,0.01)</f>
        <v>1167.46</v>
      </c>
      <c r="H252" s="9"/>
    </row>
    <row r="253" spans="1:8" s="1" customFormat="1" ht="17.25">
      <c r="B253" s="80"/>
      <c r="C253" s="80"/>
      <c r="D253" s="53"/>
      <c r="E253" s="58"/>
      <c r="F253" s="126"/>
      <c r="G253" s="126"/>
      <c r="H253" s="127">
        <f>SUM(G252)</f>
        <v>1167.46</v>
      </c>
    </row>
    <row r="254" spans="1:8" s="1" customFormat="1" ht="16.5">
      <c r="F254" s="42" t="s">
        <v>1708</v>
      </c>
      <c r="G254" s="106"/>
      <c r="H254" s="65">
        <f>SUM(H250:H253)</f>
        <v>1167.46</v>
      </c>
    </row>
    <row r="255" spans="1:8" s="1" customFormat="1" ht="26.25" customHeight="1">
      <c r="B255" s="1" t="s">
        <v>426</v>
      </c>
      <c r="F255" s="42" t="s">
        <v>1688</v>
      </c>
      <c r="G255" s="106"/>
      <c r="H255" s="65">
        <f>FLOOR(H254*0.15,0.01)</f>
        <v>175.11</v>
      </c>
    </row>
    <row r="256" spans="1:8" s="1" customFormat="1" ht="16.5">
      <c r="A256" s="28" t="s">
        <v>3384</v>
      </c>
      <c r="B256" s="103">
        <f>+H256</f>
        <v>1342.5700000000002</v>
      </c>
      <c r="C256" s="1" t="s">
        <v>3385</v>
      </c>
      <c r="F256" s="42" t="s">
        <v>1711</v>
      </c>
      <c r="G256" s="106"/>
      <c r="H256" s="103">
        <f>SUM(H254:H255)</f>
        <v>1342.5700000000002</v>
      </c>
    </row>
    <row r="257" spans="1:8" s="1" customFormat="1" ht="24.75">
      <c r="A257" s="28"/>
      <c r="B257" s="128"/>
      <c r="D257" s="309" t="s">
        <v>3298</v>
      </c>
      <c r="E257" s="310"/>
      <c r="F257" s="310"/>
      <c r="G257" s="310"/>
      <c r="H257" s="310"/>
    </row>
    <row r="258" spans="1:8" s="1" customFormat="1" ht="16.5">
      <c r="B258" s="149"/>
      <c r="H258" s="19"/>
    </row>
    <row r="259" spans="1:8" s="1" customFormat="1" ht="17.25">
      <c r="A259" s="28"/>
      <c r="B259" s="151"/>
      <c r="D259" s="209"/>
      <c r="F259" s="42"/>
      <c r="G259" s="42"/>
      <c r="H259" s="151"/>
    </row>
    <row r="260" spans="1:8" s="1" customFormat="1" ht="16.5">
      <c r="A260" s="28"/>
      <c r="B260" s="151"/>
      <c r="F260" s="42"/>
      <c r="G260" s="106"/>
      <c r="H260" s="151"/>
    </row>
    <row r="261" spans="1:8" s="1" customFormat="1" ht="15.75">
      <c r="A261"/>
      <c r="B261" s="151"/>
      <c r="C261" s="28"/>
      <c r="D261" s="151"/>
      <c r="F261" s="42"/>
      <c r="G261" s="42"/>
      <c r="H261" s="151"/>
    </row>
    <row r="262" spans="1:8" s="1" customFormat="1" ht="15">
      <c r="G262" s="2"/>
      <c r="H262" s="2"/>
    </row>
    <row r="263" spans="1:8" s="1" customFormat="1" ht="16.5">
      <c r="B263" s="149"/>
    </row>
    <row r="264" spans="1:8" s="1" customFormat="1" ht="19.5">
      <c r="A264" s="282">
        <f>'Update Descrip'!A4303+1</f>
        <v>280</v>
      </c>
      <c r="B264" s="1076" t="s">
        <v>640</v>
      </c>
      <c r="C264" s="1077"/>
      <c r="D264" s="1077"/>
      <c r="E264" s="1077"/>
      <c r="F264" s="1077"/>
      <c r="G264" s="1077"/>
      <c r="H264" s="1077"/>
    </row>
    <row r="265" spans="1:8" s="1" customFormat="1" ht="15">
      <c r="A265" s="15" t="s">
        <v>131</v>
      </c>
      <c r="B265" s="1075" t="s">
        <v>1591</v>
      </c>
      <c r="C265" s="1075"/>
      <c r="D265" s="1075"/>
      <c r="E265" s="1075"/>
      <c r="F265" s="1075"/>
      <c r="G265" s="1075"/>
      <c r="H265" s="1075"/>
    </row>
    <row r="266" spans="1:8" s="1" customFormat="1" ht="63">
      <c r="B266" s="70" t="s">
        <v>3340</v>
      </c>
      <c r="C266" s="70" t="s">
        <v>3341</v>
      </c>
      <c r="D266" s="70" t="s">
        <v>3342</v>
      </c>
      <c r="E266" s="70" t="s">
        <v>3343</v>
      </c>
      <c r="F266" s="70" t="s">
        <v>3344</v>
      </c>
      <c r="G266" s="70" t="s">
        <v>3345</v>
      </c>
      <c r="H266" s="70" t="s">
        <v>1704</v>
      </c>
    </row>
    <row r="267" spans="1:8" s="1" customFormat="1" ht="17.25">
      <c r="A267" s="28"/>
      <c r="B267" s="1067" t="s">
        <v>614</v>
      </c>
      <c r="C267" s="82" t="s">
        <v>790</v>
      </c>
      <c r="D267" s="52">
        <v>9</v>
      </c>
      <c r="E267" s="55" t="s">
        <v>1707</v>
      </c>
      <c r="F267" s="120">
        <f>'update Rate'!$F$5</f>
        <v>525</v>
      </c>
      <c r="G267" s="111">
        <f>FLOOR(D267*F267,0.01)</f>
        <v>4725</v>
      </c>
      <c r="H267" s="112"/>
    </row>
    <row r="268" spans="1:8" s="1" customFormat="1" ht="17.25">
      <c r="B268" s="1068"/>
      <c r="C268" s="80" t="s">
        <v>615</v>
      </c>
      <c r="D268" s="53">
        <v>5</v>
      </c>
      <c r="E268" s="58" t="s">
        <v>1707</v>
      </c>
      <c r="F268" s="126">
        <f>'update Rate'!F4</f>
        <v>375</v>
      </c>
      <c r="G268" s="65">
        <f>FLOOR(D268*F268,0.01)</f>
        <v>1875</v>
      </c>
      <c r="H268" s="127">
        <f>SUM(G267+G268)</f>
        <v>6600</v>
      </c>
    </row>
    <row r="269" spans="1:8" s="1" customFormat="1" ht="17.25">
      <c r="B269" s="1067" t="s">
        <v>2330</v>
      </c>
      <c r="C269" s="57" t="s">
        <v>1633</v>
      </c>
      <c r="D269" s="50">
        <v>8</v>
      </c>
      <c r="E269" s="57" t="s">
        <v>2844</v>
      </c>
      <c r="F269" s="113">
        <f>'update Rate'!F147</f>
        <v>225</v>
      </c>
      <c r="G269" s="114">
        <f>FLOOR(D269*F269,0.01)</f>
        <v>1800</v>
      </c>
      <c r="H269" s="112"/>
    </row>
    <row r="270" spans="1:8" s="1" customFormat="1" ht="17.25">
      <c r="B270" s="1096"/>
      <c r="C270" s="82" t="s">
        <v>2771</v>
      </c>
      <c r="D270" s="44">
        <v>16</v>
      </c>
      <c r="E270" s="55" t="s">
        <v>2844</v>
      </c>
      <c r="F270" s="113">
        <f>'update Rate'!F155</f>
        <v>530</v>
      </c>
      <c r="G270" s="113">
        <f>FLOOR(D270*F270,0.01)</f>
        <v>8480</v>
      </c>
      <c r="H270" s="9"/>
    </row>
    <row r="271" spans="1:8" s="1" customFormat="1" ht="17.25">
      <c r="B271" s="1068"/>
      <c r="C271" s="80"/>
      <c r="D271" s="45"/>
      <c r="E271" s="58"/>
      <c r="F271" s="126"/>
      <c r="G271" s="135"/>
      <c r="H271" s="127">
        <f>SUM(G269+G270)</f>
        <v>10280</v>
      </c>
    </row>
    <row r="272" spans="1:8" s="1" customFormat="1" ht="15.75">
      <c r="A272" s="25"/>
      <c r="F272" s="42" t="s">
        <v>1708</v>
      </c>
      <c r="H272" s="65">
        <f>SUM(H268:H271)</f>
        <v>16880</v>
      </c>
    </row>
    <row r="273" spans="1:8" s="1" customFormat="1" ht="16.5">
      <c r="B273" s="1" t="s">
        <v>1710</v>
      </c>
      <c r="F273" s="42" t="s">
        <v>1688</v>
      </c>
      <c r="G273" s="106"/>
      <c r="H273" s="103">
        <f>FLOOR(H272*0.15,0.01)</f>
        <v>2532</v>
      </c>
    </row>
    <row r="274" spans="1:8" s="1" customFormat="1" ht="16.5">
      <c r="A274" s="28"/>
      <c r="B274" s="147">
        <f>+H274</f>
        <v>19412</v>
      </c>
      <c r="C274" s="28" t="s">
        <v>3384</v>
      </c>
      <c r="D274" s="103">
        <f>FLOOR(B274/B275,0.01)</f>
        <v>194.12</v>
      </c>
      <c r="E274" s="1" t="s">
        <v>3385</v>
      </c>
      <c r="F274" s="42" t="s">
        <v>1711</v>
      </c>
      <c r="G274" s="106"/>
      <c r="H274" s="103">
        <f>SUM(H272:H273)</f>
        <v>19412</v>
      </c>
    </row>
    <row r="275" spans="1:8" s="1" customFormat="1" ht="17.25">
      <c r="A275" s="28"/>
      <c r="B275" s="149">
        <v>100</v>
      </c>
      <c r="C275" s="28"/>
      <c r="D275" s="151"/>
      <c r="F275" s="42"/>
      <c r="G275" s="106"/>
      <c r="H275" s="151"/>
    </row>
    <row r="276" spans="1:8" s="1" customFormat="1" ht="15">
      <c r="A276" s="33"/>
    </row>
    <row r="277" spans="1:8" s="1" customFormat="1" ht="15">
      <c r="A277"/>
      <c r="B277"/>
      <c r="C277"/>
      <c r="D277"/>
      <c r="E277"/>
      <c r="F277"/>
      <c r="G277"/>
      <c r="H277"/>
    </row>
    <row r="278" spans="1:8" s="1" customFormat="1" ht="20.25">
      <c r="A278" s="282">
        <f>'Update Descrip'!A3547+1</f>
        <v>222</v>
      </c>
      <c r="B278" s="1210" t="s">
        <v>12</v>
      </c>
      <c r="C278" s="1072"/>
      <c r="D278" s="1072"/>
      <c r="E278" s="1072"/>
      <c r="F278" s="1072"/>
      <c r="G278" s="1072"/>
      <c r="H278" s="1072"/>
    </row>
    <row r="279" spans="1:8" s="1" customFormat="1" ht="19.5">
      <c r="A279" s="15" t="s">
        <v>1781</v>
      </c>
      <c r="B279" s="1076" t="s">
        <v>1782</v>
      </c>
      <c r="C279" s="1077"/>
      <c r="D279" s="1077"/>
      <c r="E279" s="1077"/>
      <c r="F279" s="1077"/>
      <c r="G279" s="1077"/>
      <c r="H279" s="1077"/>
    </row>
    <row r="280" spans="1:8" s="1" customFormat="1" ht="15">
      <c r="B280" s="1083" t="s">
        <v>1594</v>
      </c>
      <c r="C280" s="1083"/>
      <c r="D280" s="1083"/>
      <c r="E280" s="1083"/>
      <c r="F280" s="1083"/>
      <c r="G280" s="1083"/>
      <c r="H280" s="1083"/>
    </row>
    <row r="281" spans="1:8" s="1" customFormat="1" ht="63">
      <c r="B281" s="70" t="s">
        <v>3340</v>
      </c>
      <c r="C281" s="70" t="s">
        <v>3341</v>
      </c>
      <c r="D281" s="70" t="s">
        <v>3342</v>
      </c>
      <c r="E281" s="70" t="s">
        <v>3343</v>
      </c>
      <c r="F281" s="70" t="s">
        <v>3344</v>
      </c>
      <c r="G281" s="70" t="s">
        <v>3345</v>
      </c>
      <c r="H281" s="70" t="s">
        <v>1704</v>
      </c>
    </row>
    <row r="282" spans="1:8" s="1" customFormat="1" ht="17.25">
      <c r="B282" s="1067" t="s">
        <v>1705</v>
      </c>
      <c r="C282" s="60" t="s">
        <v>610</v>
      </c>
      <c r="D282" s="47">
        <v>2</v>
      </c>
      <c r="E282" s="57" t="s">
        <v>1707</v>
      </c>
      <c r="F282" s="111">
        <f>mason</f>
        <v>525</v>
      </c>
      <c r="G282" s="111">
        <f t="shared" ref="G282:G289" si="0">FLOOR(D282*F282,0.01)</f>
        <v>1050</v>
      </c>
      <c r="H282" s="112"/>
    </row>
    <row r="283" spans="1:8" s="1" customFormat="1" ht="17.25">
      <c r="B283" s="1070"/>
      <c r="C283" s="58" t="s">
        <v>1647</v>
      </c>
      <c r="D283" s="53">
        <v>8</v>
      </c>
      <c r="E283" s="58" t="s">
        <v>1707</v>
      </c>
      <c r="F283" s="65">
        <f>'update Rate'!F4</f>
        <v>375</v>
      </c>
      <c r="G283" s="65">
        <f t="shared" si="0"/>
        <v>3000</v>
      </c>
      <c r="H283" s="125">
        <f>SUM(G282+G283)</f>
        <v>4050</v>
      </c>
    </row>
    <row r="284" spans="1:8" s="1" customFormat="1" ht="17.25">
      <c r="B284" s="1069" t="s">
        <v>2330</v>
      </c>
      <c r="C284" s="55" t="s">
        <v>1507</v>
      </c>
      <c r="D284" s="54">
        <v>0.13</v>
      </c>
      <c r="E284" s="55" t="s">
        <v>804</v>
      </c>
      <c r="F284" s="113">
        <f>'update Rate'!F15</f>
        <v>14200</v>
      </c>
      <c r="G284" s="113">
        <f t="shared" si="0"/>
        <v>1846</v>
      </c>
      <c r="H284" s="86"/>
    </row>
    <row r="285" spans="1:8" s="1" customFormat="1" ht="17.25">
      <c r="B285" s="1094"/>
      <c r="C285" s="55" t="s">
        <v>801</v>
      </c>
      <c r="D285" s="54">
        <v>0.183</v>
      </c>
      <c r="E285" s="55" t="s">
        <v>2530</v>
      </c>
      <c r="F285" s="113">
        <f>'update Rate'!F8</f>
        <v>1659.57</v>
      </c>
      <c r="G285" s="113">
        <f t="shared" si="0"/>
        <v>303.7</v>
      </c>
      <c r="H285" s="88"/>
    </row>
    <row r="286" spans="1:8" s="1" customFormat="1" ht="17.25">
      <c r="B286" s="1094"/>
      <c r="C286" s="655" t="s">
        <v>13</v>
      </c>
      <c r="D286" s="44">
        <v>11</v>
      </c>
      <c r="E286" s="55" t="s">
        <v>3170</v>
      </c>
      <c r="F286" s="44">
        <f>'update Rate'!F220</f>
        <v>559.52</v>
      </c>
      <c r="G286" s="113">
        <f t="shared" si="0"/>
        <v>6154.72</v>
      </c>
      <c r="H286" s="88"/>
    </row>
    <row r="287" spans="1:8" s="1" customFormat="1" ht="17.25">
      <c r="B287" s="1094"/>
      <c r="C287" s="55" t="s">
        <v>1783</v>
      </c>
      <c r="D287" s="44">
        <v>0.37</v>
      </c>
      <c r="E287" s="55" t="s">
        <v>3096</v>
      </c>
      <c r="F287" s="44">
        <f>'update Rate'!$F$137</f>
        <v>115</v>
      </c>
      <c r="G287" s="113">
        <f t="shared" si="0"/>
        <v>42.550000000000004</v>
      </c>
      <c r="H287" s="88"/>
    </row>
    <row r="288" spans="1:8" s="1" customFormat="1" ht="17.25">
      <c r="B288" s="1094"/>
      <c r="C288" s="55" t="s">
        <v>2275</v>
      </c>
      <c r="D288" s="54">
        <v>0.11799999999999999</v>
      </c>
      <c r="E288" s="55" t="s">
        <v>3096</v>
      </c>
      <c r="F288" s="44">
        <f>'update Rate'!$F$138</f>
        <v>200</v>
      </c>
      <c r="G288" s="113">
        <f t="shared" si="0"/>
        <v>23.6</v>
      </c>
      <c r="H288" s="88"/>
    </row>
    <row r="289" spans="1:8" s="1" customFormat="1" ht="17.25">
      <c r="B289" s="1094"/>
      <c r="C289" s="55" t="s">
        <v>2276</v>
      </c>
      <c r="D289" s="54">
        <v>0.53800000000000003</v>
      </c>
      <c r="E289" s="55" t="s">
        <v>2844</v>
      </c>
      <c r="F289" s="44">
        <f>'update Rate'!$F$139</f>
        <v>180</v>
      </c>
      <c r="G289" s="113">
        <f t="shared" si="0"/>
        <v>96.84</v>
      </c>
      <c r="H289" s="88"/>
    </row>
    <row r="290" spans="1:8" s="1" customFormat="1" ht="15.75">
      <c r="B290" s="1073"/>
      <c r="C290" s="58" t="s">
        <v>2843</v>
      </c>
      <c r="D290" s="65" t="s">
        <v>3171</v>
      </c>
      <c r="E290" s="58" t="s">
        <v>3173</v>
      </c>
      <c r="F290" s="65"/>
      <c r="G290" s="65">
        <v>120</v>
      </c>
      <c r="H290" s="127">
        <f>SUM(G284:G290)</f>
        <v>8587.41</v>
      </c>
    </row>
    <row r="291" spans="1:8" s="1" customFormat="1" ht="17.25">
      <c r="B291" s="68" t="s">
        <v>2119</v>
      </c>
      <c r="C291" s="66" t="s">
        <v>1780</v>
      </c>
      <c r="D291" s="46">
        <v>13.5</v>
      </c>
      <c r="E291" s="66" t="s">
        <v>1707</v>
      </c>
      <c r="F291" s="65">
        <f>'update Rate'!F4</f>
        <v>375</v>
      </c>
      <c r="G291" s="103">
        <f>FLOOR(D291*F291,0.01)</f>
        <v>5062.5</v>
      </c>
      <c r="H291" s="127">
        <f>SUM(G291)</f>
        <v>5062.5</v>
      </c>
    </row>
    <row r="292" spans="1:8" s="1" customFormat="1" ht="15.75">
      <c r="F292" s="42" t="s">
        <v>1708</v>
      </c>
      <c r="G292" s="117"/>
      <c r="H292" s="65">
        <f>SUM(H283:H291)</f>
        <v>17699.91</v>
      </c>
    </row>
    <row r="293" spans="1:8" s="1" customFormat="1" ht="15.75">
      <c r="B293" s="1" t="s">
        <v>1710</v>
      </c>
      <c r="F293" s="42" t="s">
        <v>1689</v>
      </c>
      <c r="G293" s="117"/>
      <c r="H293" s="103">
        <f>FLOOR(H292*0.15,0.01)</f>
        <v>2654.98</v>
      </c>
    </row>
    <row r="294" spans="1:8" s="1" customFormat="1" ht="15.75">
      <c r="A294"/>
      <c r="B294" s="147">
        <f>+H294</f>
        <v>20354.89</v>
      </c>
      <c r="C294" s="28" t="s">
        <v>3384</v>
      </c>
      <c r="D294" s="103">
        <f>INT(B294/B295*100)/100</f>
        <v>2035.48</v>
      </c>
      <c r="E294" s="1" t="s">
        <v>3385</v>
      </c>
      <c r="F294" s="42" t="s">
        <v>1711</v>
      </c>
      <c r="G294" s="117"/>
      <c r="H294" s="103">
        <f>SUM(H292:H293)</f>
        <v>20354.89</v>
      </c>
    </row>
    <row r="295" spans="1:8" s="1" customFormat="1" ht="15">
      <c r="B295" s="121">
        <v>10</v>
      </c>
    </row>
    <row r="296" spans="1:8" s="1" customFormat="1" ht="15.75">
      <c r="A296" s="110" t="s">
        <v>3402</v>
      </c>
      <c r="B296" s="121"/>
    </row>
    <row r="297" spans="1:8" s="1" customFormat="1" ht="15">
      <c r="A297" s="110"/>
      <c r="B297" s="121"/>
    </row>
    <row r="298" spans="1:8" s="1" customFormat="1" ht="15">
      <c r="A298" s="110"/>
      <c r="B298" s="121"/>
    </row>
    <row r="299" spans="1:8" s="1" customFormat="1" ht="19.5">
      <c r="A299" s="282">
        <f>'Update Descrip'!A2542+1</f>
        <v>151</v>
      </c>
      <c r="B299" s="1076" t="s">
        <v>1651</v>
      </c>
      <c r="C299" s="1089"/>
      <c r="D299" s="1089"/>
      <c r="E299" s="1089"/>
      <c r="F299" s="1089"/>
      <c r="G299" s="1089"/>
      <c r="H299" s="1089"/>
    </row>
    <row r="300" spans="1:8" s="1" customFormat="1" ht="15">
      <c r="A300" s="15" t="s">
        <v>2934</v>
      </c>
      <c r="B300" s="1074" t="s">
        <v>1594</v>
      </c>
      <c r="C300" s="1092"/>
      <c r="D300" s="1092"/>
      <c r="E300" s="1092"/>
      <c r="F300" s="1092"/>
      <c r="G300" s="1092"/>
      <c r="H300" s="1092"/>
    </row>
    <row r="301" spans="1:8" s="1" customFormat="1" ht="63">
      <c r="B301" s="70" t="s">
        <v>3340</v>
      </c>
      <c r="C301" s="70" t="s">
        <v>3341</v>
      </c>
      <c r="D301" s="70" t="s">
        <v>3342</v>
      </c>
      <c r="E301" s="70" t="s">
        <v>3343</v>
      </c>
      <c r="F301" s="70" t="s">
        <v>3344</v>
      </c>
      <c r="G301" s="70" t="s">
        <v>3345</v>
      </c>
      <c r="H301" s="70" t="s">
        <v>1704</v>
      </c>
    </row>
    <row r="302" spans="1:8" s="1" customFormat="1" ht="15">
      <c r="B302" s="1069" t="s">
        <v>2330</v>
      </c>
      <c r="C302" s="1069" t="s">
        <v>1838</v>
      </c>
      <c r="D302" s="218"/>
      <c r="E302" s="1069" t="s">
        <v>3170</v>
      </c>
      <c r="F302" s="113"/>
      <c r="G302" s="18"/>
      <c r="H302" s="27"/>
    </row>
    <row r="303" spans="1:8" s="1" customFormat="1" ht="15">
      <c r="B303" s="1073"/>
      <c r="C303" s="1073"/>
      <c r="D303" s="219">
        <v>10</v>
      </c>
      <c r="E303" s="1073"/>
      <c r="F303" s="65">
        <f>'update Rate'!F422</f>
        <v>58</v>
      </c>
      <c r="G303" s="65">
        <f>FLOOR(D303*F303,0.01)</f>
        <v>580</v>
      </c>
      <c r="H303" s="127">
        <f>SUM(G302:G303)</f>
        <v>580</v>
      </c>
    </row>
    <row r="304" spans="1:8" s="1" customFormat="1" ht="16.5">
      <c r="F304" s="42" t="s">
        <v>1708</v>
      </c>
      <c r="G304" s="106"/>
      <c r="H304" s="65">
        <f>SUM(H303)</f>
        <v>580</v>
      </c>
    </row>
    <row r="305" spans="1:8" s="1" customFormat="1" ht="16.5">
      <c r="B305" s="1" t="s">
        <v>1710</v>
      </c>
      <c r="F305" s="42" t="s">
        <v>1689</v>
      </c>
      <c r="G305" s="106"/>
      <c r="H305" s="103">
        <f>FLOOR(H304*0.15,0.01)</f>
        <v>87</v>
      </c>
    </row>
    <row r="306" spans="1:8" s="1" customFormat="1" ht="16.5">
      <c r="A306"/>
      <c r="B306" s="147">
        <f>+H306</f>
        <v>667</v>
      </c>
      <c r="C306" s="28" t="s">
        <v>3384</v>
      </c>
      <c r="D306" s="103">
        <f>B306/10</f>
        <v>66.7</v>
      </c>
      <c r="E306" s="1" t="s">
        <v>3385</v>
      </c>
      <c r="F306" s="42" t="s">
        <v>1711</v>
      </c>
      <c r="G306" s="106"/>
      <c r="H306" s="103">
        <f>SUM(H304:H305)</f>
        <v>667</v>
      </c>
    </row>
    <row r="307" spans="1:8" s="1" customFormat="1" ht="15">
      <c r="B307" s="121" t="s">
        <v>3677</v>
      </c>
    </row>
    <row r="308" spans="1:8" s="1" customFormat="1" ht="15">
      <c r="A308"/>
      <c r="B308"/>
      <c r="C308"/>
      <c r="D308"/>
      <c r="E308"/>
      <c r="F308"/>
      <c r="G308"/>
      <c r="H308"/>
    </row>
    <row r="309" spans="1:8" s="1" customFormat="1" ht="19.5">
      <c r="A309" s="32"/>
      <c r="B309" s="1077" t="s">
        <v>1312</v>
      </c>
      <c r="C309" s="1077"/>
      <c r="D309" s="1077"/>
      <c r="E309" s="1077"/>
      <c r="F309" s="1077"/>
      <c r="G309" s="1077"/>
      <c r="H309" s="1077"/>
    </row>
    <row r="310" spans="1:8" s="1" customFormat="1" ht="19.5">
      <c r="A310" s="282">
        <f>A299+1</f>
        <v>152</v>
      </c>
      <c r="B310" s="1076" t="s">
        <v>1840</v>
      </c>
      <c r="C310" s="1072"/>
      <c r="D310" s="1072"/>
      <c r="E310" s="1072"/>
      <c r="F310" s="1072"/>
      <c r="G310" s="1072"/>
      <c r="H310" s="1072"/>
    </row>
    <row r="311" spans="1:8" s="1" customFormat="1" ht="15">
      <c r="A311" s="15" t="s">
        <v>2501</v>
      </c>
      <c r="B311" s="1074" t="s">
        <v>1594</v>
      </c>
      <c r="C311" s="1075"/>
      <c r="D311" s="1075"/>
      <c r="E311" s="1075"/>
      <c r="F311" s="1075"/>
      <c r="G311" s="1075"/>
      <c r="H311" s="1075"/>
    </row>
    <row r="312" spans="1:8" s="1" customFormat="1" ht="63">
      <c r="B312" s="70" t="s">
        <v>3340</v>
      </c>
      <c r="C312" s="70" t="s">
        <v>3341</v>
      </c>
      <c r="D312" s="70" t="s">
        <v>3342</v>
      </c>
      <c r="E312" s="70" t="s">
        <v>3343</v>
      </c>
      <c r="F312" s="70" t="s">
        <v>3344</v>
      </c>
      <c r="G312" s="70" t="s">
        <v>3345</v>
      </c>
      <c r="H312" s="70" t="s">
        <v>1704</v>
      </c>
    </row>
    <row r="313" spans="1:8" s="1" customFormat="1" ht="17.25">
      <c r="B313" s="1067" t="s">
        <v>1705</v>
      </c>
      <c r="C313" s="60" t="s">
        <v>610</v>
      </c>
      <c r="D313" s="43">
        <v>6.5</v>
      </c>
      <c r="E313" s="57" t="s">
        <v>1707</v>
      </c>
      <c r="F313" s="111">
        <f>mason</f>
        <v>525</v>
      </c>
      <c r="G313" s="111">
        <f>FLOOR(D313*F313,0.01)</f>
        <v>3412.5</v>
      </c>
      <c r="H313" s="112"/>
    </row>
    <row r="314" spans="1:8" s="1" customFormat="1" ht="17.25">
      <c r="B314" s="1070"/>
      <c r="C314" s="80" t="s">
        <v>1647</v>
      </c>
      <c r="D314" s="45">
        <v>0.65</v>
      </c>
      <c r="E314" s="58" t="s">
        <v>1707</v>
      </c>
      <c r="F314" s="65">
        <f>'update Rate'!F4</f>
        <v>375</v>
      </c>
      <c r="G314" s="65">
        <f>FLOOR(D314*F314,0.01)</f>
        <v>243.75</v>
      </c>
      <c r="H314" s="125">
        <f>SUM(G313+G314)</f>
        <v>3656.25</v>
      </c>
    </row>
    <row r="315" spans="1:8" s="1" customFormat="1" ht="17.25">
      <c r="B315" s="1069" t="s">
        <v>2330</v>
      </c>
      <c r="C315" s="57" t="s">
        <v>1839</v>
      </c>
      <c r="D315" s="48">
        <v>10</v>
      </c>
      <c r="E315" s="57" t="s">
        <v>3170</v>
      </c>
      <c r="F315" s="114">
        <f>'update Rate'!F222</f>
        <v>420.66</v>
      </c>
      <c r="G315" s="113">
        <f>FLOOR(D315*F315,0.01)</f>
        <v>4206.6000000000004</v>
      </c>
      <c r="H315" s="112"/>
    </row>
    <row r="316" spans="1:8" s="1" customFormat="1" ht="17.25">
      <c r="B316" s="1070"/>
      <c r="C316" s="58" t="s">
        <v>3473</v>
      </c>
      <c r="D316" s="264">
        <v>1</v>
      </c>
      <c r="E316" s="58" t="s">
        <v>3096</v>
      </c>
      <c r="F316" s="65">
        <f>'update Rate'!F146</f>
        <v>220</v>
      </c>
      <c r="G316" s="65">
        <f>FLOOR(D316*F316,0.01)</f>
        <v>220</v>
      </c>
      <c r="H316" s="127">
        <f>SUM(G315:G316)</f>
        <v>4426.6000000000004</v>
      </c>
    </row>
    <row r="317" spans="1:8" s="1" customFormat="1" ht="16.5">
      <c r="F317" s="42" t="s">
        <v>1708</v>
      </c>
      <c r="G317" s="106"/>
      <c r="H317" s="65">
        <f>SUM(H316,H314)</f>
        <v>8082.85</v>
      </c>
    </row>
    <row r="318" spans="1:8" s="1" customFormat="1" ht="16.5">
      <c r="B318" s="1" t="s">
        <v>1710</v>
      </c>
      <c r="F318" s="42" t="s">
        <v>1689</v>
      </c>
      <c r="G318" s="106"/>
      <c r="H318" s="103">
        <f>FLOOR(H317*0.15,0.01)</f>
        <v>1212.42</v>
      </c>
    </row>
    <row r="319" spans="1:8" s="1" customFormat="1" ht="16.5">
      <c r="A319"/>
      <c r="B319" s="147">
        <f>+H319</f>
        <v>9295.27</v>
      </c>
      <c r="C319" s="28" t="s">
        <v>3384</v>
      </c>
      <c r="D319" s="103">
        <f>INT(B319/B320*100)/100</f>
        <v>929.52</v>
      </c>
      <c r="E319" s="1" t="s">
        <v>3385</v>
      </c>
      <c r="F319" s="42" t="s">
        <v>1711</v>
      </c>
      <c r="G319" s="138"/>
      <c r="H319" s="103">
        <f>SUM(H317:H318)</f>
        <v>9295.27</v>
      </c>
    </row>
    <row r="320" spans="1:8" s="1" customFormat="1" ht="15">
      <c r="B320" s="121">
        <v>10</v>
      </c>
    </row>
    <row r="321" spans="1:8" s="1" customFormat="1" ht="20.25">
      <c r="B321" s="149"/>
      <c r="F321" s="38"/>
      <c r="G321" s="38"/>
      <c r="H321" s="38"/>
    </row>
    <row r="322" spans="1:8" s="1" customFormat="1" ht="19.5">
      <c r="A322" s="282">
        <f>A310+1</f>
        <v>153</v>
      </c>
      <c r="B322" s="1115" t="s">
        <v>3333</v>
      </c>
      <c r="C322" s="1209"/>
      <c r="D322" s="1209"/>
      <c r="E322" s="1209"/>
      <c r="F322" s="1209"/>
      <c r="G322" s="1209"/>
      <c r="H322" s="1209"/>
    </row>
    <row r="323" spans="1:8" s="1" customFormat="1" ht="15">
      <c r="A323" s="15" t="s">
        <v>3315</v>
      </c>
      <c r="B323" s="1129" t="s">
        <v>2693</v>
      </c>
      <c r="C323" s="1130"/>
      <c r="D323" s="1130"/>
      <c r="E323" s="1130"/>
      <c r="F323" s="1130"/>
      <c r="G323" s="1130"/>
      <c r="H323" s="1130"/>
    </row>
    <row r="324" spans="1:8" s="1" customFormat="1" ht="45">
      <c r="B324" s="4" t="s">
        <v>3340</v>
      </c>
      <c r="C324" s="4" t="s">
        <v>3341</v>
      </c>
      <c r="D324" s="4" t="s">
        <v>3342</v>
      </c>
      <c r="E324" s="4" t="s">
        <v>3343</v>
      </c>
      <c r="F324" s="4" t="s">
        <v>3344</v>
      </c>
      <c r="G324" s="4" t="s">
        <v>3345</v>
      </c>
      <c r="H324" s="4" t="s">
        <v>1704</v>
      </c>
    </row>
    <row r="325" spans="1:8" s="1" customFormat="1" ht="16.5">
      <c r="B325" s="1142" t="s">
        <v>1705</v>
      </c>
      <c r="C325" s="14" t="s">
        <v>610</v>
      </c>
      <c r="D325" s="43">
        <v>5.27</v>
      </c>
      <c r="E325" s="11" t="s">
        <v>1707</v>
      </c>
      <c r="F325" s="111">
        <f>mason</f>
        <v>525</v>
      </c>
      <c r="G325" s="114">
        <f>FLOOR(D325*F325,0.01)</f>
        <v>2766.75</v>
      </c>
      <c r="H325" s="112"/>
    </row>
    <row r="326" spans="1:8" s="1" customFormat="1" ht="16.5">
      <c r="B326" s="1070"/>
      <c r="C326" s="15" t="s">
        <v>1647</v>
      </c>
      <c r="D326" s="45">
        <v>0.52</v>
      </c>
      <c r="E326" s="15" t="s">
        <v>1707</v>
      </c>
      <c r="F326" s="113">
        <f>'update Rate'!F4</f>
        <v>375</v>
      </c>
      <c r="G326" s="114">
        <f>FLOOR(D326*F326,0.01)</f>
        <v>195</v>
      </c>
      <c r="H326" s="125">
        <f>SUM(G325:G326)</f>
        <v>2961.75</v>
      </c>
    </row>
    <row r="327" spans="1:8" s="1" customFormat="1" ht="151.5">
      <c r="B327" s="1127" t="s">
        <v>2330</v>
      </c>
      <c r="C327" s="301" t="s">
        <v>2610</v>
      </c>
      <c r="D327" s="210">
        <v>0.32890000000000003</v>
      </c>
      <c r="E327" s="11" t="s">
        <v>2530</v>
      </c>
      <c r="F327" s="114">
        <f>Swood</f>
        <v>126056.7</v>
      </c>
      <c r="G327" s="114">
        <f>FLOOR(D327*F327,0.01)</f>
        <v>41460.04</v>
      </c>
      <c r="H327" s="86"/>
    </row>
    <row r="328" spans="1:8" s="1" customFormat="1" ht="16.5">
      <c r="B328" s="1128"/>
      <c r="C328" s="302"/>
      <c r="D328" s="300"/>
      <c r="E328" s="15"/>
      <c r="F328" s="65"/>
      <c r="G328" s="65"/>
      <c r="H328" s="89">
        <f>SUM(G325:G327)</f>
        <v>44421.79</v>
      </c>
    </row>
    <row r="329" spans="1:8" s="1" customFormat="1" ht="15">
      <c r="F329" s="1" t="s">
        <v>1708</v>
      </c>
      <c r="H329" s="65">
        <f>SUM(H325:H328)</f>
        <v>47383.54</v>
      </c>
    </row>
    <row r="330" spans="1:8" s="1" customFormat="1" ht="16.5">
      <c r="B330" s="1" t="s">
        <v>1710</v>
      </c>
      <c r="F330" s="42" t="s">
        <v>1689</v>
      </c>
      <c r="G330" s="106"/>
      <c r="H330" s="103">
        <f>FLOOR(H329*0.15,0.01)</f>
        <v>7107.53</v>
      </c>
    </row>
    <row r="331" spans="1:8" s="1" customFormat="1" ht="16.5">
      <c r="A331"/>
      <c r="B331" s="147">
        <f>+H331</f>
        <v>54491.07</v>
      </c>
      <c r="C331" s="28" t="s">
        <v>3384</v>
      </c>
      <c r="D331" s="103">
        <f>INT(B331/B332*100)/100</f>
        <v>6054.56</v>
      </c>
      <c r="E331" s="1" t="s">
        <v>3385</v>
      </c>
      <c r="F331" s="42" t="s">
        <v>1711</v>
      </c>
      <c r="G331" s="138"/>
      <c r="H331" s="103">
        <f>SUM(H329:H330)</f>
        <v>54491.07</v>
      </c>
    </row>
    <row r="332" spans="1:8" s="1" customFormat="1" ht="15">
      <c r="B332" s="121">
        <v>9</v>
      </c>
      <c r="C332" s="3"/>
    </row>
    <row r="333" spans="1:8" s="1" customFormat="1" ht="15">
      <c r="A333" s="110"/>
      <c r="B333" s="110" t="s">
        <v>639</v>
      </c>
      <c r="C333" s="110"/>
      <c r="D333" s="110"/>
      <c r="E333" s="110"/>
      <c r="F333" s="110"/>
      <c r="G333" s="110"/>
      <c r="H333" s="110"/>
    </row>
    <row r="334" spans="1:8" s="1" customFormat="1" ht="15">
      <c r="A334"/>
      <c r="B334"/>
      <c r="C334"/>
      <c r="D334"/>
      <c r="E334"/>
      <c r="F334"/>
      <c r="G334"/>
      <c r="H334"/>
    </row>
    <row r="335" spans="1:8" s="1" customFormat="1" ht="15">
      <c r="B335" s="121"/>
    </row>
    <row r="336" spans="1:8" s="1" customFormat="1" ht="15">
      <c r="A336"/>
      <c r="B336"/>
      <c r="C336"/>
      <c r="D336"/>
      <c r="E336"/>
      <c r="F336"/>
      <c r="G336"/>
      <c r="H336"/>
    </row>
    <row r="337" spans="1:8" s="1" customFormat="1" ht="19.5">
      <c r="B337" s="1089" t="s">
        <v>2740</v>
      </c>
      <c r="C337" s="1089"/>
      <c r="D337" s="1089"/>
      <c r="E337" s="1089"/>
      <c r="F337" s="1089"/>
      <c r="G337" s="1089"/>
      <c r="H337" s="1089"/>
    </row>
    <row r="338" spans="1:8" s="1" customFormat="1" ht="19.5">
      <c r="A338" s="282">
        <f>A322+1</f>
        <v>154</v>
      </c>
      <c r="B338" s="1076" t="s">
        <v>2734</v>
      </c>
      <c r="C338" s="1089"/>
      <c r="D338" s="1089"/>
      <c r="E338" s="1089"/>
      <c r="F338" s="1089"/>
      <c r="G338" s="1089"/>
      <c r="H338" s="1089"/>
    </row>
    <row r="339" spans="1:8" s="1" customFormat="1" ht="19.5">
      <c r="A339" s="15" t="s">
        <v>2735</v>
      </c>
      <c r="B339" s="1076" t="s">
        <v>430</v>
      </c>
      <c r="C339" s="1089"/>
      <c r="D339" s="1089"/>
      <c r="E339" s="1089"/>
      <c r="F339" s="1089"/>
      <c r="G339" s="1089"/>
      <c r="H339" s="1089"/>
    </row>
    <row r="340" spans="1:8" s="1" customFormat="1" ht="15">
      <c r="B340" s="1117" t="s">
        <v>3485</v>
      </c>
      <c r="C340" s="1117"/>
      <c r="D340" s="1117"/>
      <c r="E340" s="1117"/>
      <c r="F340" s="1117"/>
      <c r="G340" s="1117"/>
      <c r="H340" s="1117"/>
    </row>
    <row r="341" spans="1:8" s="1" customFormat="1" ht="63">
      <c r="B341" s="70" t="s">
        <v>3340</v>
      </c>
      <c r="C341" s="70" t="s">
        <v>3341</v>
      </c>
      <c r="D341" s="70" t="s">
        <v>3342</v>
      </c>
      <c r="E341" s="70" t="s">
        <v>3343</v>
      </c>
      <c r="F341" s="70" t="s">
        <v>3344</v>
      </c>
      <c r="G341" s="70" t="s">
        <v>3345</v>
      </c>
      <c r="H341" s="70" t="s">
        <v>1704</v>
      </c>
    </row>
    <row r="342" spans="1:8" s="1" customFormat="1" ht="17.25">
      <c r="B342" s="1067" t="s">
        <v>1705</v>
      </c>
      <c r="C342" s="60" t="s">
        <v>610</v>
      </c>
      <c r="D342" s="47">
        <v>23</v>
      </c>
      <c r="E342" s="57" t="s">
        <v>1707</v>
      </c>
      <c r="F342" s="111">
        <f>mason</f>
        <v>525</v>
      </c>
      <c r="G342" s="111">
        <f t="shared" ref="G342:G347" si="1">FLOOR(D342*F342,0.01)</f>
        <v>12075</v>
      </c>
      <c r="H342" s="112"/>
    </row>
    <row r="343" spans="1:8" s="1" customFormat="1" ht="17.25">
      <c r="B343" s="1070"/>
      <c r="C343" s="58" t="s">
        <v>1647</v>
      </c>
      <c r="D343" s="45">
        <v>2.2999999999999998</v>
      </c>
      <c r="E343" s="58" t="s">
        <v>1707</v>
      </c>
      <c r="F343" s="113">
        <f>'update Rate'!F4</f>
        <v>375</v>
      </c>
      <c r="G343" s="65">
        <f t="shared" si="1"/>
        <v>862.5</v>
      </c>
      <c r="H343" s="125">
        <f>SUM(G342+G343)</f>
        <v>12937.5</v>
      </c>
    </row>
    <row r="344" spans="1:8" s="1" customFormat="1" ht="17.25">
      <c r="B344" s="1069" t="s">
        <v>2330</v>
      </c>
      <c r="C344" s="55" t="s">
        <v>2178</v>
      </c>
      <c r="D344" s="44">
        <v>0.45</v>
      </c>
      <c r="E344" s="55" t="s">
        <v>2530</v>
      </c>
      <c r="F344" s="114">
        <f>awood</f>
        <v>120054</v>
      </c>
      <c r="G344" s="113">
        <f t="shared" si="1"/>
        <v>54024.3</v>
      </c>
      <c r="H344" s="86"/>
    </row>
    <row r="345" spans="1:8" s="1" customFormat="1" ht="17.25">
      <c r="B345" s="1095"/>
      <c r="C345" s="55" t="s">
        <v>2181</v>
      </c>
      <c r="D345" s="44">
        <v>37.5</v>
      </c>
      <c r="E345" s="55" t="s">
        <v>3170</v>
      </c>
      <c r="F345" s="113">
        <f>'update Rate'!F74</f>
        <v>451.92</v>
      </c>
      <c r="G345" s="113">
        <f t="shared" si="1"/>
        <v>16947</v>
      </c>
      <c r="H345" s="9"/>
    </row>
    <row r="346" spans="1:8" s="1" customFormat="1" ht="17.25">
      <c r="B346" s="1095"/>
      <c r="C346" s="55" t="s">
        <v>1222</v>
      </c>
      <c r="D346" s="259">
        <v>100</v>
      </c>
      <c r="E346" s="55" t="s">
        <v>655</v>
      </c>
      <c r="F346" s="113">
        <f>'update Rate'!$F$133</f>
        <v>39.36</v>
      </c>
      <c r="G346" s="113">
        <f t="shared" si="1"/>
        <v>3936</v>
      </c>
      <c r="H346" s="88"/>
    </row>
    <row r="347" spans="1:8" s="1" customFormat="1" ht="17.25">
      <c r="B347" s="1070"/>
      <c r="C347" s="58" t="s">
        <v>2272</v>
      </c>
      <c r="D347" s="45">
        <v>0.5</v>
      </c>
      <c r="E347" s="58" t="s">
        <v>654</v>
      </c>
      <c r="F347" s="65">
        <f>'update Rate'!$F$58</f>
        <v>99</v>
      </c>
      <c r="G347" s="65">
        <f t="shared" si="1"/>
        <v>49.5</v>
      </c>
      <c r="H347" s="127">
        <f>SUM(G344:G347)</f>
        <v>74956.800000000003</v>
      </c>
    </row>
    <row r="348" spans="1:8" s="1" customFormat="1" ht="15.75">
      <c r="F348" s="42" t="s">
        <v>1708</v>
      </c>
      <c r="G348" s="42"/>
      <c r="H348" s="65">
        <f>SUM(H343:H347)</f>
        <v>87894.3</v>
      </c>
    </row>
    <row r="349" spans="1:8" s="1" customFormat="1" ht="15.75">
      <c r="B349" s="1" t="s">
        <v>1710</v>
      </c>
      <c r="F349" s="42" t="s">
        <v>1689</v>
      </c>
      <c r="G349" s="42"/>
      <c r="H349" s="103">
        <f>FLOOR(H348*0.15,0.01)</f>
        <v>13184.14</v>
      </c>
    </row>
    <row r="350" spans="1:8" s="1" customFormat="1" ht="15.75">
      <c r="A350"/>
      <c r="B350" s="147">
        <f>+H350</f>
        <v>101078.44</v>
      </c>
      <c r="C350" s="28" t="s">
        <v>3384</v>
      </c>
      <c r="D350" s="103">
        <f>INT(B350/B351*100)/100</f>
        <v>2840.87</v>
      </c>
      <c r="E350" s="1" t="s">
        <v>3385</v>
      </c>
      <c r="F350" s="42" t="s">
        <v>1711</v>
      </c>
      <c r="G350" s="42"/>
      <c r="H350" s="103">
        <f>SUM(H348:H349)</f>
        <v>101078.44</v>
      </c>
    </row>
    <row r="351" spans="1:8" s="1" customFormat="1" ht="20.25">
      <c r="B351" s="149">
        <v>35.58</v>
      </c>
      <c r="F351" s="38"/>
      <c r="G351" s="38"/>
      <c r="H351" s="38"/>
    </row>
    <row r="352" spans="1:8" s="1" customFormat="1" ht="15.75">
      <c r="A352" s="282">
        <f>A338+1</f>
        <v>155</v>
      </c>
      <c r="B352" s="1207" t="s">
        <v>3395</v>
      </c>
      <c r="C352" s="1208"/>
      <c r="D352" s="1208"/>
      <c r="E352" s="1208"/>
      <c r="F352" s="1208"/>
      <c r="G352" s="1208"/>
      <c r="H352" s="1208"/>
    </row>
    <row r="353" spans="1:8" s="1" customFormat="1" ht="15">
      <c r="A353" s="15" t="s">
        <v>2934</v>
      </c>
      <c r="B353" s="1074" t="s">
        <v>1594</v>
      </c>
      <c r="C353" s="1092"/>
      <c r="D353" s="1092"/>
      <c r="E353" s="1092"/>
      <c r="F353" s="1092"/>
      <c r="G353" s="1092"/>
      <c r="H353" s="1092"/>
    </row>
    <row r="354" spans="1:8" s="1" customFormat="1" ht="63">
      <c r="B354" s="70" t="s">
        <v>3340</v>
      </c>
      <c r="C354" s="70" t="s">
        <v>3341</v>
      </c>
      <c r="D354" s="70" t="s">
        <v>3342</v>
      </c>
      <c r="E354" s="70" t="s">
        <v>3343</v>
      </c>
      <c r="F354" s="70" t="s">
        <v>3344</v>
      </c>
      <c r="G354" s="70" t="s">
        <v>3345</v>
      </c>
      <c r="H354" s="70" t="s">
        <v>1704</v>
      </c>
    </row>
    <row r="355" spans="1:8" s="1" customFormat="1" ht="15">
      <c r="B355" s="1069" t="s">
        <v>2330</v>
      </c>
      <c r="C355" s="1067" t="s">
        <v>1948</v>
      </c>
      <c r="D355" s="218"/>
      <c r="E355" s="1069" t="s">
        <v>3170</v>
      </c>
      <c r="F355" s="113"/>
      <c r="G355" s="18"/>
      <c r="H355" s="27"/>
    </row>
    <row r="356" spans="1:8" s="1" customFormat="1" ht="15">
      <c r="B356" s="1073"/>
      <c r="C356" s="1099"/>
      <c r="D356" s="219">
        <v>10</v>
      </c>
      <c r="E356" s="1073"/>
      <c r="F356" s="65">
        <f>'update Rate'!F231</f>
        <v>1379.97</v>
      </c>
      <c r="G356" s="65">
        <f>FLOOR(D356*F356,0.01)</f>
        <v>13799.7</v>
      </c>
      <c r="H356" s="127">
        <f>SUM(G355:G356)</f>
        <v>13799.7</v>
      </c>
    </row>
    <row r="357" spans="1:8" s="1" customFormat="1" ht="16.5">
      <c r="F357" s="42" t="s">
        <v>1708</v>
      </c>
      <c r="G357" s="106"/>
      <c r="H357" s="65">
        <f>SUM(H356)</f>
        <v>13799.7</v>
      </c>
    </row>
    <row r="358" spans="1:8" s="1" customFormat="1" ht="16.5">
      <c r="B358" s="1" t="s">
        <v>1710</v>
      </c>
      <c r="F358" s="42" t="s">
        <v>1689</v>
      </c>
      <c r="G358" s="106"/>
      <c r="H358" s="103">
        <f>FLOOR(H357*0.15,0.01)</f>
        <v>2069.9499999999998</v>
      </c>
    </row>
    <row r="359" spans="1:8" s="1" customFormat="1" ht="16.5">
      <c r="A359"/>
      <c r="B359" s="147">
        <f>+H359</f>
        <v>15869.650000000001</v>
      </c>
      <c r="C359" s="28" t="s">
        <v>3384</v>
      </c>
      <c r="D359" s="103">
        <f>INT(B359/B360*100)/100</f>
        <v>1586.96</v>
      </c>
      <c r="E359" s="1" t="s">
        <v>3385</v>
      </c>
      <c r="F359" s="42" t="s">
        <v>1711</v>
      </c>
      <c r="G359" s="106"/>
      <c r="H359" s="103">
        <f>SUM(H357:H358)</f>
        <v>15869.650000000001</v>
      </c>
    </row>
    <row r="360" spans="1:8" s="1" customFormat="1" ht="15">
      <c r="B360" s="121">
        <v>10</v>
      </c>
    </row>
    <row r="361" spans="1:8" s="1" customFormat="1" ht="15">
      <c r="A361"/>
      <c r="B361"/>
      <c r="C361"/>
      <c r="D361"/>
      <c r="E361"/>
      <c r="F361"/>
      <c r="G361"/>
      <c r="H361"/>
    </row>
    <row r="362" spans="1:8" s="1" customFormat="1" ht="15.75">
      <c r="A362" s="282">
        <f>A352+1</f>
        <v>156</v>
      </c>
      <c r="B362" s="1097" t="s">
        <v>3396</v>
      </c>
      <c r="C362" s="1098"/>
      <c r="D362" s="1098"/>
      <c r="E362" s="1098"/>
      <c r="F362" s="1098"/>
      <c r="G362" s="1098"/>
      <c r="H362" s="1098"/>
    </row>
    <row r="363" spans="1:8" s="1" customFormat="1" ht="15">
      <c r="A363" s="15" t="s">
        <v>2934</v>
      </c>
      <c r="B363" s="1074" t="s">
        <v>1594</v>
      </c>
      <c r="C363" s="1092"/>
      <c r="D363" s="1092"/>
      <c r="E363" s="1092"/>
      <c r="F363" s="1092"/>
      <c r="G363" s="1092"/>
      <c r="H363" s="1092"/>
    </row>
    <row r="364" spans="1:8" s="1" customFormat="1" ht="63">
      <c r="B364" s="70" t="s">
        <v>3340</v>
      </c>
      <c r="C364" s="70" t="s">
        <v>3341</v>
      </c>
      <c r="D364" s="70" t="s">
        <v>3342</v>
      </c>
      <c r="E364" s="70" t="s">
        <v>3343</v>
      </c>
      <c r="F364" s="70" t="s">
        <v>3344</v>
      </c>
      <c r="G364" s="70" t="s">
        <v>3345</v>
      </c>
      <c r="H364" s="70" t="s">
        <v>1704</v>
      </c>
    </row>
    <row r="365" spans="1:8" s="1" customFormat="1" ht="15">
      <c r="B365" s="1069" t="s">
        <v>2330</v>
      </c>
      <c r="C365" s="1067" t="s">
        <v>1949</v>
      </c>
      <c r="D365" s="218"/>
      <c r="E365" s="1069" t="s">
        <v>3170</v>
      </c>
      <c r="F365" s="113"/>
      <c r="G365" s="18"/>
      <c r="H365" s="27"/>
    </row>
    <row r="366" spans="1:8" s="1" customFormat="1" ht="15">
      <c r="B366" s="1073"/>
      <c r="C366" s="1099"/>
      <c r="D366" s="219">
        <v>10</v>
      </c>
      <c r="E366" s="1073"/>
      <c r="F366" s="65">
        <f>'update Rate'!F232</f>
        <v>4599.8999999999996</v>
      </c>
      <c r="G366" s="65">
        <f>FLOOR(D366*F366,0.01)</f>
        <v>45999</v>
      </c>
      <c r="H366" s="127">
        <f>SUM(G365:G366)</f>
        <v>45999</v>
      </c>
    </row>
    <row r="367" spans="1:8" s="1" customFormat="1" ht="16.5">
      <c r="F367" s="42" t="s">
        <v>1708</v>
      </c>
      <c r="G367" s="106"/>
      <c r="H367" s="65">
        <f>SUM(H366)</f>
        <v>45999</v>
      </c>
    </row>
    <row r="368" spans="1:8" s="1" customFormat="1" ht="16.5">
      <c r="B368" s="1" t="s">
        <v>1710</v>
      </c>
      <c r="F368" s="42" t="s">
        <v>1689</v>
      </c>
      <c r="G368" s="106"/>
      <c r="H368" s="103">
        <f>FLOOR(H367*0.15,0.01)</f>
        <v>6899.85</v>
      </c>
    </row>
    <row r="369" spans="1:8" s="1" customFormat="1" ht="16.5">
      <c r="A369"/>
      <c r="B369" s="147">
        <f>+H369</f>
        <v>52898.85</v>
      </c>
      <c r="C369" s="28" t="s">
        <v>3384</v>
      </c>
      <c r="D369" s="103">
        <f>INT(B369/B370*100)/100</f>
        <v>5289.88</v>
      </c>
      <c r="E369" s="1" t="s">
        <v>3385</v>
      </c>
      <c r="F369" s="42" t="s">
        <v>1711</v>
      </c>
      <c r="G369" s="106"/>
      <c r="H369" s="103">
        <f>SUM(H367:H368)</f>
        <v>52898.85</v>
      </c>
    </row>
    <row r="370" spans="1:8" s="1" customFormat="1" ht="15">
      <c r="B370" s="121">
        <v>10</v>
      </c>
    </row>
    <row r="371" spans="1:8" s="1" customFormat="1" ht="15"/>
    <row r="372" spans="1:8" s="1" customFormat="1" ht="15">
      <c r="B372" s="121"/>
    </row>
    <row r="373" spans="1:8" s="1" customFormat="1" ht="15.75">
      <c r="A373" s="282">
        <f>'Update Descrip'!A3606+1</f>
        <v>227</v>
      </c>
      <c r="B373" s="1097" t="s">
        <v>2921</v>
      </c>
      <c r="C373" s="1098"/>
      <c r="D373" s="1098"/>
      <c r="E373" s="1098"/>
      <c r="F373" s="1098"/>
      <c r="G373" s="1098"/>
      <c r="H373" s="1098"/>
    </row>
    <row r="374" spans="1:8" s="1" customFormat="1" ht="15">
      <c r="A374" s="15" t="s">
        <v>2934</v>
      </c>
      <c r="B374" s="1074" t="s">
        <v>1594</v>
      </c>
      <c r="C374" s="1092"/>
      <c r="D374" s="1092"/>
      <c r="E374" s="1092"/>
      <c r="F374" s="1092"/>
      <c r="G374" s="1092"/>
      <c r="H374" s="1092"/>
    </row>
    <row r="375" spans="1:8" s="1" customFormat="1" ht="63">
      <c r="B375" s="70" t="s">
        <v>3340</v>
      </c>
      <c r="C375" s="70" t="s">
        <v>3341</v>
      </c>
      <c r="D375" s="70" t="s">
        <v>3342</v>
      </c>
      <c r="E375" s="70" t="s">
        <v>3343</v>
      </c>
      <c r="F375" s="70" t="s">
        <v>3344</v>
      </c>
      <c r="G375" s="70" t="s">
        <v>3345</v>
      </c>
      <c r="H375" s="70" t="s">
        <v>1704</v>
      </c>
    </row>
    <row r="376" spans="1:8" s="1" customFormat="1" ht="15">
      <c r="B376" s="1069" t="s">
        <v>2330</v>
      </c>
      <c r="C376" s="1067" t="s">
        <v>1952</v>
      </c>
      <c r="D376" s="218"/>
      <c r="E376" s="1069" t="s">
        <v>3170</v>
      </c>
      <c r="F376" s="113"/>
      <c r="G376" s="18"/>
      <c r="H376" s="27"/>
    </row>
    <row r="377" spans="1:8" s="1" customFormat="1" ht="15">
      <c r="B377" s="1073"/>
      <c r="C377" s="1099"/>
      <c r="D377" s="219">
        <v>10</v>
      </c>
      <c r="E377" s="1073"/>
      <c r="F377" s="65">
        <f>'update Rate'!F336</f>
        <v>2676.5499999999997</v>
      </c>
      <c r="G377" s="65">
        <f>FLOOR(D377*F377,0.01)</f>
        <v>26765.5</v>
      </c>
      <c r="H377" s="127">
        <f>SUM(G376:G377)</f>
        <v>26765.5</v>
      </c>
    </row>
    <row r="378" spans="1:8" s="1" customFormat="1" ht="16.5">
      <c r="F378" s="42" t="s">
        <v>1708</v>
      </c>
      <c r="G378" s="106"/>
      <c r="H378" s="65">
        <f>SUM(H377)</f>
        <v>26765.5</v>
      </c>
    </row>
    <row r="379" spans="1:8" s="1" customFormat="1" ht="16.5">
      <c r="B379" s="1" t="s">
        <v>1710</v>
      </c>
      <c r="F379" s="42" t="s">
        <v>1689</v>
      </c>
      <c r="G379" s="106"/>
      <c r="H379" s="103">
        <f>FLOOR(H378*0.15,0.01)</f>
        <v>4014.82</v>
      </c>
    </row>
    <row r="380" spans="1:8" s="1" customFormat="1" ht="16.5">
      <c r="A380"/>
      <c r="B380" s="147">
        <f>+H380</f>
        <v>30780.32</v>
      </c>
      <c r="C380" s="28" t="s">
        <v>3384</v>
      </c>
      <c r="D380" s="103">
        <f>INT(B380/B381*100)/100</f>
        <v>3078.03</v>
      </c>
      <c r="E380" s="1" t="s">
        <v>3385</v>
      </c>
      <c r="F380" s="42" t="s">
        <v>1711</v>
      </c>
      <c r="G380" s="106"/>
      <c r="H380" s="103">
        <f>SUM(H378:H379)</f>
        <v>30780.32</v>
      </c>
    </row>
    <row r="381" spans="1:8" s="1" customFormat="1" ht="15">
      <c r="B381" s="121">
        <v>10</v>
      </c>
    </row>
    <row r="382" spans="1:8" s="1" customFormat="1" ht="15">
      <c r="B382" s="121"/>
    </row>
    <row r="383" spans="1:8" s="1" customFormat="1" ht="15">
      <c r="B383" s="121"/>
    </row>
    <row r="384" spans="1:8" s="1" customFormat="1" ht="15.75">
      <c r="A384" s="282">
        <f>A373+1</f>
        <v>228</v>
      </c>
      <c r="B384" s="1097" t="s">
        <v>2922</v>
      </c>
      <c r="C384" s="1098"/>
      <c r="D384" s="1098"/>
      <c r="E384" s="1098"/>
      <c r="F384" s="1098"/>
      <c r="G384" s="1098"/>
      <c r="H384" s="1098"/>
    </row>
    <row r="385" spans="1:8" s="1" customFormat="1" ht="15">
      <c r="A385" s="15" t="s">
        <v>2934</v>
      </c>
      <c r="B385" s="1074" t="s">
        <v>1594</v>
      </c>
      <c r="C385" s="1092"/>
      <c r="D385" s="1092"/>
      <c r="E385" s="1092"/>
      <c r="F385" s="1092"/>
      <c r="G385" s="1092"/>
      <c r="H385" s="1092"/>
    </row>
    <row r="386" spans="1:8" s="1" customFormat="1" ht="63">
      <c r="B386" s="70" t="s">
        <v>3340</v>
      </c>
      <c r="C386" s="70" t="s">
        <v>3341</v>
      </c>
      <c r="D386" s="70" t="s">
        <v>3342</v>
      </c>
      <c r="E386" s="70" t="s">
        <v>3343</v>
      </c>
      <c r="F386" s="70" t="s">
        <v>3344</v>
      </c>
      <c r="G386" s="70" t="s">
        <v>3345</v>
      </c>
      <c r="H386" s="70" t="s">
        <v>1704</v>
      </c>
    </row>
    <row r="387" spans="1:8" s="1" customFormat="1" ht="15">
      <c r="B387" s="1069" t="s">
        <v>2330</v>
      </c>
      <c r="C387" s="1067" t="s">
        <v>1953</v>
      </c>
      <c r="D387" s="218"/>
      <c r="E387" s="1069" t="s">
        <v>3170</v>
      </c>
      <c r="F387" s="113"/>
      <c r="G387" s="18"/>
      <c r="H387" s="27"/>
    </row>
    <row r="388" spans="1:8" s="1" customFormat="1" ht="15">
      <c r="B388" s="1073"/>
      <c r="C388" s="1099"/>
      <c r="D388" s="219">
        <v>10</v>
      </c>
      <c r="E388" s="1073"/>
      <c r="F388" s="65">
        <f>'update Rate'!F337</f>
        <v>2039.6656</v>
      </c>
      <c r="G388" s="65">
        <f>FLOOR(D388*F388,0.01)</f>
        <v>20396.650000000001</v>
      </c>
      <c r="H388" s="127">
        <f>SUM(G387:G388)</f>
        <v>20396.650000000001</v>
      </c>
    </row>
    <row r="389" spans="1:8" s="1" customFormat="1" ht="16.5">
      <c r="F389" s="42" t="s">
        <v>1708</v>
      </c>
      <c r="G389" s="106"/>
      <c r="H389" s="65">
        <f>SUM(H388)</f>
        <v>20396.650000000001</v>
      </c>
    </row>
    <row r="390" spans="1:8" s="1" customFormat="1" ht="16.5">
      <c r="B390" s="1" t="s">
        <v>1710</v>
      </c>
      <c r="F390" s="42" t="s">
        <v>1689</v>
      </c>
      <c r="G390" s="106"/>
      <c r="H390" s="103">
        <f>FLOOR(H389*0.15,0.01)</f>
        <v>3059.4900000000002</v>
      </c>
    </row>
    <row r="391" spans="1:8" s="1" customFormat="1" ht="16.5">
      <c r="A391"/>
      <c r="B391" s="147">
        <f>+H391</f>
        <v>23456.140000000003</v>
      </c>
      <c r="C391" s="28" t="s">
        <v>3384</v>
      </c>
      <c r="D391" s="103">
        <f>INT(B391/B392*100)/100</f>
        <v>2345.61</v>
      </c>
      <c r="E391" s="1" t="s">
        <v>3385</v>
      </c>
      <c r="F391" s="42" t="s">
        <v>1711</v>
      </c>
      <c r="G391" s="106"/>
      <c r="H391" s="103">
        <f>SUM(H389:H390)</f>
        <v>23456.140000000003</v>
      </c>
    </row>
    <row r="392" spans="1:8" s="1" customFormat="1" ht="15">
      <c r="B392" s="121">
        <v>10</v>
      </c>
    </row>
    <row r="393" spans="1:8" s="1" customFormat="1" ht="15">
      <c r="B393" s="121"/>
    </row>
    <row r="394" spans="1:8" s="1" customFormat="1" ht="15">
      <c r="B394" s="121"/>
    </row>
    <row r="395" spans="1:8" s="1" customFormat="1" ht="15.75">
      <c r="A395" s="282">
        <f>A384+1</f>
        <v>229</v>
      </c>
      <c r="B395" s="1097" t="s">
        <v>2923</v>
      </c>
      <c r="C395" s="1098"/>
      <c r="D395" s="1098"/>
      <c r="E395" s="1098"/>
      <c r="F395" s="1098"/>
      <c r="G395" s="1098"/>
      <c r="H395" s="1098"/>
    </row>
    <row r="396" spans="1:8" s="1" customFormat="1" ht="15">
      <c r="A396" s="15" t="s">
        <v>2934</v>
      </c>
      <c r="B396" s="1074" t="s">
        <v>1594</v>
      </c>
      <c r="C396" s="1092"/>
      <c r="D396" s="1092"/>
      <c r="E396" s="1092"/>
      <c r="F396" s="1092"/>
      <c r="G396" s="1092"/>
      <c r="H396" s="1092"/>
    </row>
    <row r="397" spans="1:8" s="1" customFormat="1" ht="63">
      <c r="B397" s="70" t="s">
        <v>3340</v>
      </c>
      <c r="C397" s="70" t="s">
        <v>3341</v>
      </c>
      <c r="D397" s="70" t="s">
        <v>3342</v>
      </c>
      <c r="E397" s="70" t="s">
        <v>3343</v>
      </c>
      <c r="F397" s="70" t="s">
        <v>3344</v>
      </c>
      <c r="G397" s="70" t="s">
        <v>3345</v>
      </c>
      <c r="H397" s="70" t="s">
        <v>1704</v>
      </c>
    </row>
    <row r="398" spans="1:8" s="1" customFormat="1" ht="15">
      <c r="B398" s="1069" t="s">
        <v>2330</v>
      </c>
      <c r="C398" s="1067" t="s">
        <v>316</v>
      </c>
      <c r="D398" s="218"/>
      <c r="E398" s="1069" t="s">
        <v>3170</v>
      </c>
      <c r="F398" s="113"/>
      <c r="G398" s="18"/>
      <c r="H398" s="27"/>
    </row>
    <row r="399" spans="1:8" s="1" customFormat="1" ht="15">
      <c r="B399" s="1073"/>
      <c r="C399" s="1099"/>
      <c r="D399" s="219">
        <v>10</v>
      </c>
      <c r="E399" s="1073"/>
      <c r="F399" s="65">
        <f>'update Rate'!F338</f>
        <v>1694.0544</v>
      </c>
      <c r="G399" s="65">
        <f>FLOOR(D399*F399,0.01)</f>
        <v>16940.54</v>
      </c>
      <c r="H399" s="127">
        <f>SUM(G398:G399)</f>
        <v>16940.54</v>
      </c>
    </row>
    <row r="400" spans="1:8" s="1" customFormat="1" ht="16.5">
      <c r="F400" s="42" t="s">
        <v>1708</v>
      </c>
      <c r="G400" s="106"/>
      <c r="H400" s="65">
        <f>SUM(H399)</f>
        <v>16940.54</v>
      </c>
    </row>
    <row r="401" spans="1:8" s="1" customFormat="1" ht="16.5">
      <c r="B401" s="1" t="s">
        <v>1710</v>
      </c>
      <c r="F401" s="42" t="s">
        <v>1689</v>
      </c>
      <c r="G401" s="106"/>
      <c r="H401" s="103">
        <f>FLOOR(H400*0.15,0.01)</f>
        <v>2541.08</v>
      </c>
    </row>
    <row r="402" spans="1:8" s="1" customFormat="1" ht="16.5">
      <c r="A402"/>
      <c r="B402" s="147">
        <f>+H402</f>
        <v>19481.620000000003</v>
      </c>
      <c r="C402" s="28" t="s">
        <v>3384</v>
      </c>
      <c r="D402" s="103">
        <f>INT(B402/B403*100)/100</f>
        <v>1948.16</v>
      </c>
      <c r="E402" s="1" t="s">
        <v>3385</v>
      </c>
      <c r="F402" s="42" t="s">
        <v>1711</v>
      </c>
      <c r="G402" s="106"/>
      <c r="H402" s="103">
        <f>SUM(H400:H401)</f>
        <v>19481.620000000003</v>
      </c>
    </row>
    <row r="403" spans="1:8" s="1" customFormat="1" ht="15">
      <c r="B403" s="121">
        <v>10</v>
      </c>
    </row>
    <row r="404" spans="1:8" s="1" customFormat="1" ht="15">
      <c r="B404" s="121"/>
    </row>
    <row r="405" spans="1:8" s="1" customFormat="1" ht="15.75">
      <c r="A405" s="282">
        <f>A395+1</f>
        <v>230</v>
      </c>
      <c r="B405" s="1097" t="s">
        <v>2721</v>
      </c>
      <c r="C405" s="1098"/>
      <c r="D405" s="1098"/>
      <c r="E405" s="1098"/>
      <c r="F405" s="1098"/>
      <c r="G405" s="1098"/>
      <c r="H405" s="1098"/>
    </row>
    <row r="406" spans="1:8" s="1" customFormat="1" ht="15">
      <c r="A406" s="15" t="s">
        <v>2934</v>
      </c>
      <c r="B406" s="1074" t="s">
        <v>1594</v>
      </c>
      <c r="C406" s="1092"/>
      <c r="D406" s="1092"/>
      <c r="E406" s="1092"/>
      <c r="F406" s="1092"/>
      <c r="G406" s="1092"/>
      <c r="H406" s="1092"/>
    </row>
    <row r="407" spans="1:8" s="1" customFormat="1" ht="63">
      <c r="B407" s="70" t="s">
        <v>3340</v>
      </c>
      <c r="C407" s="70" t="s">
        <v>3341</v>
      </c>
      <c r="D407" s="70" t="s">
        <v>3342</v>
      </c>
      <c r="E407" s="70" t="s">
        <v>3343</v>
      </c>
      <c r="F407" s="70" t="s">
        <v>3344</v>
      </c>
      <c r="G407" s="70" t="s">
        <v>3345</v>
      </c>
      <c r="H407" s="70" t="s">
        <v>1704</v>
      </c>
    </row>
    <row r="408" spans="1:8" s="1" customFormat="1" ht="15">
      <c r="B408" s="1069" t="s">
        <v>2330</v>
      </c>
      <c r="C408" s="1067" t="s">
        <v>1951</v>
      </c>
      <c r="D408" s="218"/>
      <c r="E408" s="1069" t="s">
        <v>3170</v>
      </c>
      <c r="F408" s="113"/>
      <c r="G408" s="18"/>
      <c r="H408" s="27"/>
    </row>
    <row r="409" spans="1:8" s="1" customFormat="1" ht="15">
      <c r="B409" s="1073"/>
      <c r="C409" s="1099"/>
      <c r="D409" s="219">
        <v>10</v>
      </c>
      <c r="E409" s="1073"/>
      <c r="F409" s="65">
        <f>'update Rate'!F340</f>
        <v>1797.4580000000001</v>
      </c>
      <c r="G409" s="65">
        <f>FLOOR(D409*F409,0.01)</f>
        <v>17974.580000000002</v>
      </c>
      <c r="H409" s="127">
        <f>SUM(G408:G409)</f>
        <v>17974.580000000002</v>
      </c>
    </row>
    <row r="410" spans="1:8" s="1" customFormat="1" ht="16.5">
      <c r="F410" s="42" t="s">
        <v>1708</v>
      </c>
      <c r="G410" s="106"/>
      <c r="H410" s="65">
        <f>SUM(H409)</f>
        <v>17974.580000000002</v>
      </c>
    </row>
    <row r="411" spans="1:8" s="1" customFormat="1" ht="16.5">
      <c r="B411" s="1" t="s">
        <v>1710</v>
      </c>
      <c r="F411" s="42" t="s">
        <v>1689</v>
      </c>
      <c r="G411" s="106"/>
      <c r="H411" s="103">
        <f>FLOOR(H410*0.15,0.01)</f>
        <v>2696.18</v>
      </c>
    </row>
    <row r="412" spans="1:8" s="1" customFormat="1" ht="16.5">
      <c r="A412"/>
      <c r="B412" s="147">
        <f>+H412</f>
        <v>20670.760000000002</v>
      </c>
      <c r="C412" s="28" t="s">
        <v>3384</v>
      </c>
      <c r="D412" s="103">
        <f>INT(B412/B413*100)/100</f>
        <v>2067.0700000000002</v>
      </c>
      <c r="E412" s="1" t="s">
        <v>3385</v>
      </c>
      <c r="F412" s="42" t="s">
        <v>1711</v>
      </c>
      <c r="G412" s="106"/>
      <c r="H412" s="103">
        <f>SUM(H410:H411)</f>
        <v>20670.760000000002</v>
      </c>
    </row>
    <row r="413" spans="1:8" s="1" customFormat="1" ht="15">
      <c r="B413" s="121">
        <v>10</v>
      </c>
    </row>
    <row r="414" spans="1:8" s="1" customFormat="1" ht="15">
      <c r="B414" s="121"/>
    </row>
    <row r="415" spans="1:8" s="1" customFormat="1" ht="15.75">
      <c r="A415" s="282">
        <f>A405+1</f>
        <v>231</v>
      </c>
      <c r="B415" s="1097" t="s">
        <v>2720</v>
      </c>
      <c r="C415" s="1098"/>
      <c r="D415" s="1098"/>
      <c r="E415" s="1098"/>
      <c r="F415" s="1098"/>
      <c r="G415" s="1098"/>
      <c r="H415" s="1098"/>
    </row>
    <row r="416" spans="1:8" s="1" customFormat="1" ht="15">
      <c r="A416" s="15" t="s">
        <v>2934</v>
      </c>
      <c r="B416" s="1074" t="s">
        <v>1594</v>
      </c>
      <c r="C416" s="1092"/>
      <c r="D416" s="1092"/>
      <c r="E416" s="1092"/>
      <c r="F416" s="1092"/>
      <c r="G416" s="1092"/>
      <c r="H416" s="1092"/>
    </row>
    <row r="417" spans="1:8" s="1" customFormat="1" ht="63">
      <c r="B417" s="70" t="s">
        <v>3340</v>
      </c>
      <c r="C417" s="70" t="s">
        <v>3341</v>
      </c>
      <c r="D417" s="70" t="s">
        <v>3342</v>
      </c>
      <c r="E417" s="70" t="s">
        <v>3343</v>
      </c>
      <c r="F417" s="70" t="s">
        <v>3344</v>
      </c>
      <c r="G417" s="70" t="s">
        <v>3345</v>
      </c>
      <c r="H417" s="70" t="s">
        <v>1704</v>
      </c>
    </row>
    <row r="418" spans="1:8" s="1" customFormat="1" ht="15">
      <c r="B418" s="1069" t="s">
        <v>2330</v>
      </c>
      <c r="C418" s="1206" t="s">
        <v>317</v>
      </c>
      <c r="D418" s="218"/>
      <c r="E418" s="1069" t="s">
        <v>3170</v>
      </c>
      <c r="F418" s="113"/>
      <c r="G418" s="18"/>
      <c r="H418" s="27"/>
    </row>
    <row r="419" spans="1:8" s="1" customFormat="1" ht="15">
      <c r="B419" s="1073"/>
      <c r="C419" s="1099"/>
      <c r="D419" s="219">
        <v>10</v>
      </c>
      <c r="E419" s="1073"/>
      <c r="F419" s="65">
        <f>'update Rate'!F341</f>
        <v>344.32</v>
      </c>
      <c r="G419" s="65">
        <f>FLOOR(D419*F419,0.01)</f>
        <v>3443.2000000000003</v>
      </c>
      <c r="H419" s="127">
        <f>SUM(G418:G419)</f>
        <v>3443.2000000000003</v>
      </c>
    </row>
    <row r="420" spans="1:8" s="1" customFormat="1" ht="16.5">
      <c r="F420" s="42" t="s">
        <v>1708</v>
      </c>
      <c r="G420" s="106"/>
      <c r="H420" s="65">
        <f>SUM(H419)</f>
        <v>3443.2000000000003</v>
      </c>
    </row>
    <row r="421" spans="1:8" s="1" customFormat="1" ht="16.5">
      <c r="B421" s="1" t="s">
        <v>1710</v>
      </c>
      <c r="F421" s="42" t="s">
        <v>1689</v>
      </c>
      <c r="G421" s="106"/>
      <c r="H421" s="103">
        <f>FLOOR(H420*0.15,0.01)</f>
        <v>516.48</v>
      </c>
    </row>
    <row r="422" spans="1:8" s="1" customFormat="1" ht="16.5">
      <c r="A422"/>
      <c r="B422" s="147">
        <f>+H422</f>
        <v>3959.6800000000003</v>
      </c>
      <c r="C422" s="28" t="s">
        <v>3384</v>
      </c>
      <c r="D422" s="103">
        <f>INT(B422/B423*100)/100</f>
        <v>395.96</v>
      </c>
      <c r="E422" s="1" t="s">
        <v>3385</v>
      </c>
      <c r="F422" s="42" t="s">
        <v>1711</v>
      </c>
      <c r="G422" s="106"/>
      <c r="H422" s="103">
        <f>SUM(H420:H421)</f>
        <v>3959.6800000000003</v>
      </c>
    </row>
    <row r="423" spans="1:8" s="1" customFormat="1" ht="15">
      <c r="B423" s="121">
        <v>10</v>
      </c>
    </row>
    <row r="424" spans="1:8" s="1" customFormat="1" ht="15">
      <c r="B424" s="121"/>
    </row>
    <row r="425" spans="1:8" s="1" customFormat="1" ht="15">
      <c r="B425" s="121"/>
    </row>
    <row r="426" spans="1:8" s="1" customFormat="1" ht="15">
      <c r="B426" s="121"/>
    </row>
    <row r="427" spans="1:8" s="1" customFormat="1" ht="15">
      <c r="B427" s="121"/>
    </row>
    <row r="428" spans="1:8" s="1" customFormat="1" ht="15">
      <c r="B428" s="121"/>
    </row>
    <row r="429" spans="1:8" s="1" customFormat="1" ht="15">
      <c r="B429" s="121"/>
    </row>
    <row r="430" spans="1:8" s="1" customFormat="1" ht="15">
      <c r="B430" s="121"/>
    </row>
    <row r="431" spans="1:8" s="1" customFormat="1" ht="15">
      <c r="B431" s="121"/>
    </row>
    <row r="432" spans="1:8" s="1" customFormat="1" ht="15">
      <c r="D432" s="208"/>
    </row>
    <row r="433" spans="1:8" s="1" customFormat="1" ht="15"/>
    <row r="434" spans="1:8" s="1" customFormat="1" ht="15"/>
    <row r="435" spans="1:8" s="1" customFormat="1" ht="15"/>
    <row r="436" spans="1:8" s="1" customFormat="1" ht="20.25">
      <c r="A436" s="566"/>
      <c r="B436" s="566"/>
      <c r="C436" s="566"/>
      <c r="D436" s="567" t="s">
        <v>69</v>
      </c>
      <c r="E436" s="566"/>
      <c r="F436" s="566"/>
      <c r="G436" s="566"/>
      <c r="H436" s="566"/>
    </row>
    <row r="437" spans="1:8" s="1" customFormat="1" ht="15">
      <c r="A437" s="566"/>
      <c r="B437" s="1205" t="s">
        <v>563</v>
      </c>
      <c r="C437" s="1205"/>
      <c r="D437" s="1205"/>
      <c r="E437" s="1205"/>
      <c r="F437" s="1205"/>
      <c r="G437" s="1205"/>
      <c r="H437" s="1205"/>
    </row>
    <row r="438" spans="1:8" s="1" customFormat="1" ht="16.5">
      <c r="A438" s="597"/>
      <c r="B438" s="598"/>
      <c r="C438" s="566"/>
      <c r="D438" s="566"/>
      <c r="E438" s="566"/>
      <c r="F438" s="592"/>
      <c r="G438" s="593"/>
      <c r="H438" s="598"/>
    </row>
    <row r="439" spans="1:8" s="1" customFormat="1" ht="15">
      <c r="A439" s="566"/>
      <c r="B439" s="566"/>
      <c r="C439" s="566"/>
      <c r="D439" s="566"/>
      <c r="E439" s="566"/>
      <c r="F439" s="566"/>
      <c r="G439" s="566"/>
      <c r="H439" s="566"/>
    </row>
    <row r="440" spans="1:8" s="1" customFormat="1" ht="15">
      <c r="A440" s="566"/>
      <c r="B440" s="566"/>
      <c r="C440" s="566"/>
      <c r="D440" s="566"/>
      <c r="E440" s="566"/>
      <c r="F440" s="566"/>
      <c r="G440" s="566"/>
      <c r="H440" s="566"/>
    </row>
    <row r="441" spans="1:8" s="1" customFormat="1" ht="15">
      <c r="A441" s="566"/>
      <c r="B441" s="566"/>
      <c r="C441" s="566"/>
      <c r="D441" s="566"/>
      <c r="E441" s="566"/>
      <c r="F441" s="566"/>
      <c r="G441" s="566"/>
      <c r="H441" s="566"/>
    </row>
    <row r="442" spans="1:8" s="1" customFormat="1" ht="15">
      <c r="A442" s="566"/>
      <c r="B442" s="566"/>
      <c r="C442" s="566"/>
      <c r="D442" s="566"/>
      <c r="E442" s="566"/>
      <c r="F442" s="566"/>
      <c r="G442" s="566"/>
      <c r="H442" s="566"/>
    </row>
    <row r="443" spans="1:8" s="1" customFormat="1" ht="15">
      <c r="A443" s="568">
        <f>'Update Descrip'!A4787+1</f>
        <v>318</v>
      </c>
      <c r="B443" s="1084"/>
      <c r="C443" s="1085"/>
      <c r="D443" s="1085"/>
      <c r="E443" s="1085"/>
      <c r="F443" s="1085"/>
      <c r="G443" s="1085"/>
      <c r="H443" s="1085"/>
    </row>
    <row r="444" spans="1:8" s="1" customFormat="1" ht="15">
      <c r="A444" s="570"/>
      <c r="B444" s="1086" t="s">
        <v>2789</v>
      </c>
      <c r="C444" s="1087"/>
      <c r="D444" s="1087"/>
      <c r="E444" s="1087"/>
      <c r="F444" s="1087"/>
      <c r="G444" s="1087"/>
      <c r="H444" s="1087"/>
    </row>
    <row r="445" spans="1:8" s="1" customFormat="1" ht="15">
      <c r="A445" s="571"/>
      <c r="B445" s="1084"/>
      <c r="C445" s="1085"/>
      <c r="D445" s="1085"/>
      <c r="E445" s="1085"/>
      <c r="F445" s="1085"/>
      <c r="G445" s="1085"/>
      <c r="H445" s="1085"/>
    </row>
    <row r="446" spans="1:8" s="1" customFormat="1" ht="15">
      <c r="A446" s="572"/>
      <c r="B446" s="569"/>
      <c r="C446" s="569"/>
      <c r="D446" s="569"/>
      <c r="E446" s="569"/>
      <c r="F446" s="569"/>
      <c r="G446" s="569"/>
      <c r="H446" s="569"/>
    </row>
    <row r="447" spans="1:8" s="1" customFormat="1" ht="15">
      <c r="A447" s="566"/>
      <c r="B447" s="573" t="s">
        <v>1604</v>
      </c>
      <c r="C447" s="573"/>
      <c r="D447" s="573"/>
      <c r="E447" s="573"/>
      <c r="F447" s="573"/>
      <c r="G447" s="573"/>
      <c r="H447" s="573"/>
    </row>
    <row r="448" spans="1:8" s="1" customFormat="1" ht="63">
      <c r="A448" s="566"/>
      <c r="B448" s="574" t="s">
        <v>3340</v>
      </c>
      <c r="C448" s="574" t="s">
        <v>3341</v>
      </c>
      <c r="D448" s="574" t="s">
        <v>3342</v>
      </c>
      <c r="E448" s="574" t="s">
        <v>3343</v>
      </c>
      <c r="F448" s="574" t="s">
        <v>3344</v>
      </c>
      <c r="G448" s="574" t="s">
        <v>3345</v>
      </c>
      <c r="H448" s="574" t="s">
        <v>1704</v>
      </c>
    </row>
    <row r="449" spans="1:8" s="1" customFormat="1" ht="63">
      <c r="A449" s="566"/>
      <c r="B449" s="575" t="s">
        <v>2330</v>
      </c>
      <c r="C449" s="576" t="s">
        <v>2792</v>
      </c>
      <c r="D449" s="577"/>
      <c r="E449" s="577"/>
      <c r="F449" s="578"/>
      <c r="G449" s="578"/>
      <c r="H449" s="579"/>
    </row>
    <row r="450" spans="1:8" s="1" customFormat="1" ht="31.5">
      <c r="A450" s="566"/>
      <c r="B450" s="580" t="s">
        <v>424</v>
      </c>
      <c r="C450" s="581" t="s">
        <v>1584</v>
      </c>
      <c r="D450" s="582">
        <v>1</v>
      </c>
      <c r="E450" s="583" t="s">
        <v>3170</v>
      </c>
      <c r="F450" s="584">
        <f>'update Rate'!F474</f>
        <v>3335.6</v>
      </c>
      <c r="G450" s="585">
        <f>FLOOR(D450*F450,0.01)</f>
        <v>3335.6</v>
      </c>
      <c r="H450" s="586"/>
    </row>
    <row r="451" spans="1:8" s="1" customFormat="1" ht="17.25">
      <c r="A451" s="566"/>
      <c r="B451" s="587"/>
      <c r="C451" s="587"/>
      <c r="D451" s="588"/>
      <c r="E451" s="589"/>
      <c r="F451" s="590"/>
      <c r="G451" s="590"/>
      <c r="H451" s="591">
        <f>SUM(G450)</f>
        <v>3335.6</v>
      </c>
    </row>
    <row r="452" spans="1:8" s="1" customFormat="1" ht="16.5">
      <c r="A452" s="566"/>
      <c r="B452" s="566"/>
      <c r="C452" s="566"/>
      <c r="D452" s="566"/>
      <c r="E452" s="566"/>
      <c r="F452" s="592" t="s">
        <v>1708</v>
      </c>
      <c r="G452" s="593"/>
      <c r="H452" s="594">
        <f>SUM(H448:H451)</f>
        <v>3335.6</v>
      </c>
    </row>
    <row r="453" spans="1:8" s="1" customFormat="1" ht="16.5">
      <c r="A453" s="566"/>
      <c r="B453" s="566" t="s">
        <v>426</v>
      </c>
      <c r="C453" s="566"/>
      <c r="D453" s="566"/>
      <c r="E453" s="566"/>
      <c r="F453" s="592" t="s">
        <v>1688</v>
      </c>
      <c r="G453" s="593"/>
      <c r="H453" s="594">
        <f>FLOOR(H452*0.15,0.01)</f>
        <v>500.34000000000003</v>
      </c>
    </row>
    <row r="454" spans="1:8" s="1" customFormat="1" ht="16.5">
      <c r="A454" s="595" t="s">
        <v>3384</v>
      </c>
      <c r="B454" s="596">
        <f>+H454</f>
        <v>3835.94</v>
      </c>
      <c r="C454" s="566" t="s">
        <v>3385</v>
      </c>
      <c r="D454" s="566"/>
      <c r="E454" s="566"/>
      <c r="F454" s="592" t="s">
        <v>1711</v>
      </c>
      <c r="G454" s="593"/>
      <c r="H454" s="596">
        <f>SUM(H452:H453)</f>
        <v>3835.94</v>
      </c>
    </row>
    <row r="455" spans="1:8" s="1" customFormat="1" ht="16.5">
      <c r="A455" s="597"/>
      <c r="B455" s="598"/>
      <c r="C455" s="566"/>
      <c r="D455" s="566"/>
      <c r="E455" s="566"/>
      <c r="F455" s="592"/>
      <c r="G455" s="593"/>
      <c r="H455" s="598"/>
    </row>
    <row r="456" spans="1:8" s="1" customFormat="1" ht="15">
      <c r="A456" s="566"/>
      <c r="B456" s="566"/>
      <c r="C456" s="566"/>
      <c r="D456" s="566"/>
      <c r="E456" s="566"/>
      <c r="F456" s="566"/>
      <c r="G456" s="566"/>
      <c r="H456" s="566"/>
    </row>
    <row r="457" spans="1:8" s="1" customFormat="1" ht="15">
      <c r="A457" s="566"/>
      <c r="B457" s="566"/>
      <c r="C457" s="566"/>
      <c r="D457" s="566"/>
      <c r="E457" s="566"/>
      <c r="F457" s="566"/>
      <c r="G457" s="566"/>
      <c r="H457" s="566"/>
    </row>
    <row r="458" spans="1:8" s="1" customFormat="1" ht="15">
      <c r="A458" s="566"/>
      <c r="B458" s="566"/>
      <c r="C458" s="566"/>
      <c r="D458" s="566"/>
      <c r="E458" s="566"/>
      <c r="F458" s="566"/>
      <c r="G458" s="566"/>
      <c r="H458" s="566"/>
    </row>
    <row r="459" spans="1:8" s="1" customFormat="1" ht="15">
      <c r="A459" s="566"/>
      <c r="B459" s="566"/>
      <c r="C459" s="566"/>
      <c r="D459" s="566"/>
      <c r="E459" s="566"/>
      <c r="F459" s="566"/>
      <c r="G459" s="566"/>
      <c r="H459" s="566"/>
    </row>
    <row r="460" spans="1:8" s="1" customFormat="1" ht="15">
      <c r="A460" s="568">
        <f>A443+1</f>
        <v>319</v>
      </c>
      <c r="B460" s="1084"/>
      <c r="C460" s="1085"/>
      <c r="D460" s="1085"/>
      <c r="E460" s="1085"/>
      <c r="F460" s="1085"/>
      <c r="G460" s="1085"/>
      <c r="H460" s="1085"/>
    </row>
    <row r="461" spans="1:8" s="1" customFormat="1" ht="15">
      <c r="A461" s="570"/>
      <c r="B461" s="1086" t="s">
        <v>2791</v>
      </c>
      <c r="C461" s="1087"/>
      <c r="D461" s="1087"/>
      <c r="E461" s="1087"/>
      <c r="F461" s="1087"/>
      <c r="G461" s="1087"/>
      <c r="H461" s="1087"/>
    </row>
    <row r="462" spans="1:8" s="1" customFormat="1" ht="15">
      <c r="A462" s="571"/>
      <c r="B462" s="1084"/>
      <c r="C462" s="1085"/>
      <c r="D462" s="1085"/>
      <c r="E462" s="1085"/>
      <c r="F462" s="1085"/>
      <c r="G462" s="1085"/>
      <c r="H462" s="1085"/>
    </row>
    <row r="463" spans="1:8" s="1" customFormat="1" ht="15">
      <c r="A463" s="572"/>
      <c r="B463" s="569"/>
      <c r="C463" s="569"/>
      <c r="D463" s="569"/>
      <c r="E463" s="569"/>
      <c r="F463" s="569"/>
      <c r="G463" s="569"/>
      <c r="H463" s="569"/>
    </row>
    <row r="464" spans="1:8" s="1" customFormat="1" ht="15">
      <c r="A464" s="566"/>
      <c r="B464" s="573" t="s">
        <v>1604</v>
      </c>
      <c r="C464" s="573"/>
      <c r="D464" s="573"/>
      <c r="E464" s="573"/>
      <c r="F464" s="573"/>
      <c r="G464" s="573"/>
      <c r="H464" s="573"/>
    </row>
    <row r="465" spans="1:8" s="1" customFormat="1" ht="63">
      <c r="A465" s="566"/>
      <c r="B465" s="574" t="s">
        <v>3340</v>
      </c>
      <c r="C465" s="574" t="s">
        <v>3341</v>
      </c>
      <c r="D465" s="574" t="s">
        <v>3342</v>
      </c>
      <c r="E465" s="574" t="s">
        <v>3343</v>
      </c>
      <c r="F465" s="574" t="s">
        <v>3344</v>
      </c>
      <c r="G465" s="574" t="s">
        <v>3345</v>
      </c>
      <c r="H465" s="574" t="s">
        <v>1704</v>
      </c>
    </row>
    <row r="466" spans="1:8" s="1" customFormat="1" ht="63">
      <c r="A466" s="566"/>
      <c r="B466" s="575" t="s">
        <v>2330</v>
      </c>
      <c r="C466" s="576" t="s">
        <v>2790</v>
      </c>
      <c r="D466" s="577"/>
      <c r="E466" s="577"/>
      <c r="F466" s="578"/>
      <c r="G466" s="578"/>
      <c r="H466" s="579"/>
    </row>
    <row r="467" spans="1:8" s="1" customFormat="1" ht="31.5">
      <c r="A467" s="566"/>
      <c r="B467" s="580" t="s">
        <v>424</v>
      </c>
      <c r="C467" s="581" t="s">
        <v>1584</v>
      </c>
      <c r="D467" s="582">
        <v>1</v>
      </c>
      <c r="E467" s="583" t="s">
        <v>3170</v>
      </c>
      <c r="F467" s="584">
        <f>'update Rate'!F475</f>
        <v>3540.04</v>
      </c>
      <c r="G467" s="585">
        <f>FLOOR(D467*F467,0.01)</f>
        <v>3540.04</v>
      </c>
      <c r="H467" s="586"/>
    </row>
    <row r="468" spans="1:8" s="1" customFormat="1" ht="17.25">
      <c r="A468" s="566"/>
      <c r="B468" s="587"/>
      <c r="C468" s="587"/>
      <c r="D468" s="588"/>
      <c r="E468" s="589"/>
      <c r="F468" s="590"/>
      <c r="G468" s="590"/>
      <c r="H468" s="591">
        <f>SUM(G467)</f>
        <v>3540.04</v>
      </c>
    </row>
    <row r="469" spans="1:8" s="1" customFormat="1" ht="16.5">
      <c r="A469" s="566"/>
      <c r="B469" s="566"/>
      <c r="C469" s="566"/>
      <c r="D469" s="566"/>
      <c r="E469" s="566"/>
      <c r="F469" s="592" t="s">
        <v>1708</v>
      </c>
      <c r="G469" s="593"/>
      <c r="H469" s="594">
        <f>SUM(H465:H468)</f>
        <v>3540.04</v>
      </c>
    </row>
    <row r="470" spans="1:8" s="1" customFormat="1" ht="16.5">
      <c r="A470" s="566"/>
      <c r="B470" s="566" t="s">
        <v>426</v>
      </c>
      <c r="C470" s="566"/>
      <c r="D470" s="566"/>
      <c r="E470" s="566"/>
      <c r="F470" s="592" t="s">
        <v>1688</v>
      </c>
      <c r="G470" s="593"/>
      <c r="H470" s="594">
        <f>FLOOR(H469*0.15,0.01)</f>
        <v>531</v>
      </c>
    </row>
    <row r="471" spans="1:8" s="1" customFormat="1" ht="16.5">
      <c r="A471" s="595" t="s">
        <v>3384</v>
      </c>
      <c r="B471" s="596">
        <f>+H471</f>
        <v>4071.04</v>
      </c>
      <c r="C471" s="566" t="s">
        <v>3385</v>
      </c>
      <c r="D471" s="566"/>
      <c r="E471" s="566"/>
      <c r="F471" s="592" t="s">
        <v>1711</v>
      </c>
      <c r="G471" s="593"/>
      <c r="H471" s="596">
        <f>SUM(H469:H470)</f>
        <v>4071.04</v>
      </c>
    </row>
    <row r="472" spans="1:8" s="1" customFormat="1" ht="16.5">
      <c r="A472" s="597"/>
      <c r="B472" s="598"/>
      <c r="C472" s="566"/>
      <c r="D472" s="566"/>
      <c r="E472" s="566"/>
      <c r="F472" s="592"/>
      <c r="G472" s="593"/>
      <c r="H472" s="598"/>
    </row>
    <row r="473" spans="1:8" s="1" customFormat="1" ht="15">
      <c r="A473" s="566"/>
      <c r="B473" s="566"/>
      <c r="C473" s="566"/>
      <c r="D473" s="566"/>
      <c r="E473" s="566"/>
      <c r="F473" s="566"/>
      <c r="G473" s="566"/>
      <c r="H473" s="566"/>
    </row>
    <row r="474" spans="1:8" s="1" customFormat="1" ht="15">
      <c r="A474" s="566"/>
      <c r="B474" s="566"/>
      <c r="C474" s="566"/>
      <c r="D474" s="566"/>
      <c r="E474" s="566"/>
      <c r="F474" s="566"/>
      <c r="G474" s="566"/>
      <c r="H474" s="566"/>
    </row>
    <row r="475" spans="1:8" s="1" customFormat="1" ht="15">
      <c r="A475" s="566"/>
      <c r="B475" s="566"/>
      <c r="C475" s="566"/>
      <c r="D475" s="566"/>
      <c r="E475" s="566"/>
      <c r="F475" s="566"/>
      <c r="G475" s="566"/>
      <c r="H475" s="566"/>
    </row>
    <row r="476" spans="1:8" s="1" customFormat="1" ht="15">
      <c r="A476" s="566"/>
      <c r="B476" s="566"/>
      <c r="C476" s="566"/>
      <c r="D476" s="566"/>
      <c r="E476" s="566"/>
      <c r="F476" s="566"/>
      <c r="G476" s="566"/>
      <c r="H476" s="566"/>
    </row>
    <row r="477" spans="1:8" s="1" customFormat="1" ht="15">
      <c r="A477" s="566"/>
      <c r="B477" s="566"/>
      <c r="C477" s="566"/>
      <c r="D477" s="566"/>
      <c r="E477" s="566"/>
      <c r="F477" s="566"/>
      <c r="G477" s="566"/>
      <c r="H477" s="566"/>
    </row>
    <row r="478" spans="1:8" s="1" customFormat="1" ht="15">
      <c r="A478" s="566"/>
      <c r="B478" s="566"/>
      <c r="C478" s="566"/>
      <c r="D478" s="566"/>
      <c r="E478" s="566"/>
      <c r="F478" s="566"/>
      <c r="G478" s="566"/>
      <c r="H478" s="566"/>
    </row>
    <row r="479" spans="1:8" s="1" customFormat="1" ht="15">
      <c r="A479" s="566"/>
      <c r="B479" s="566"/>
      <c r="C479" s="566"/>
      <c r="D479" s="566"/>
      <c r="E479" s="566"/>
      <c r="F479" s="566"/>
      <c r="G479" s="566"/>
      <c r="H479" s="566"/>
    </row>
    <row r="480" spans="1:8" s="1" customFormat="1" ht="15">
      <c r="A480" s="566"/>
      <c r="B480" s="566"/>
      <c r="C480" s="566"/>
      <c r="D480" s="566"/>
      <c r="E480" s="566"/>
      <c r="F480" s="566"/>
      <c r="G480" s="566"/>
      <c r="H480" s="566"/>
    </row>
    <row r="481" spans="1:8" s="1" customFormat="1" ht="15">
      <c r="A481" s="566"/>
      <c r="B481" s="566"/>
      <c r="C481" s="566"/>
      <c r="D481" s="566"/>
      <c r="E481" s="566"/>
      <c r="F481" s="566"/>
      <c r="G481" s="566"/>
      <c r="H481" s="566"/>
    </row>
    <row r="482" spans="1:8" s="1" customFormat="1" ht="15">
      <c r="A482" s="566"/>
      <c r="B482" s="566"/>
      <c r="C482" s="566"/>
      <c r="D482" s="566"/>
      <c r="E482" s="566"/>
      <c r="F482" s="566"/>
      <c r="G482" s="566"/>
      <c r="H482" s="566"/>
    </row>
    <row r="483" spans="1:8" s="1" customFormat="1" ht="15">
      <c r="A483" s="566"/>
      <c r="B483" s="566"/>
      <c r="C483" s="566"/>
      <c r="D483" s="566"/>
      <c r="E483" s="566"/>
      <c r="F483" s="566"/>
      <c r="G483" s="566"/>
      <c r="H483" s="566"/>
    </row>
    <row r="484" spans="1:8" s="1" customFormat="1" ht="15">
      <c r="A484" s="566"/>
      <c r="B484" s="566"/>
      <c r="C484" s="566"/>
      <c r="D484" s="566"/>
      <c r="E484" s="566"/>
      <c r="F484" s="566"/>
      <c r="G484" s="566"/>
      <c r="H484" s="566"/>
    </row>
    <row r="485" spans="1:8" s="1" customFormat="1" ht="15">
      <c r="A485" s="566"/>
      <c r="B485" s="566"/>
      <c r="C485" s="566"/>
      <c r="D485" s="566"/>
      <c r="E485" s="566"/>
      <c r="F485" s="566"/>
      <c r="G485" s="566"/>
      <c r="H485" s="566"/>
    </row>
    <row r="486" spans="1:8" s="1" customFormat="1" ht="15">
      <c r="A486" s="566"/>
      <c r="B486" s="566"/>
      <c r="C486" s="566"/>
      <c r="D486" s="566"/>
      <c r="E486" s="566"/>
      <c r="F486" s="566"/>
      <c r="G486" s="566"/>
      <c r="H486" s="566"/>
    </row>
    <row r="487" spans="1:8" s="1" customFormat="1" ht="15">
      <c r="A487" s="566"/>
      <c r="B487" s="566"/>
      <c r="C487" s="566"/>
      <c r="D487" s="566"/>
      <c r="E487" s="566"/>
      <c r="F487" s="566"/>
      <c r="G487" s="566"/>
      <c r="H487" s="566"/>
    </row>
    <row r="488" spans="1:8" s="1" customFormat="1" ht="15">
      <c r="A488" s="566"/>
      <c r="B488" s="566"/>
      <c r="C488" s="566"/>
      <c r="D488" s="566"/>
      <c r="E488" s="566"/>
      <c r="F488" s="566"/>
      <c r="G488" s="566"/>
      <c r="H488" s="566"/>
    </row>
    <row r="489" spans="1:8" s="1" customFormat="1" ht="15">
      <c r="A489" s="566"/>
      <c r="B489" s="566"/>
      <c r="C489" s="566"/>
      <c r="D489" s="566"/>
      <c r="E489" s="566"/>
      <c r="F489" s="566"/>
      <c r="G489" s="566"/>
      <c r="H489" s="566"/>
    </row>
    <row r="490" spans="1:8" s="1" customFormat="1" ht="15">
      <c r="A490" s="566"/>
      <c r="B490" s="566"/>
      <c r="C490" s="566"/>
      <c r="D490" s="566"/>
      <c r="E490" s="566"/>
      <c r="F490" s="566"/>
      <c r="G490" s="566"/>
      <c r="H490" s="566"/>
    </row>
    <row r="491" spans="1:8" s="1" customFormat="1" ht="15">
      <c r="A491" s="566"/>
      <c r="B491" s="566"/>
      <c r="C491" s="566"/>
      <c r="D491" s="566"/>
      <c r="E491" s="566"/>
      <c r="F491" s="566"/>
      <c r="G491" s="566"/>
      <c r="H491" s="566"/>
    </row>
    <row r="492" spans="1:8" s="1" customFormat="1" ht="15">
      <c r="A492" s="568">
        <f>A460+1</f>
        <v>320</v>
      </c>
      <c r="B492" s="1084"/>
      <c r="C492" s="1085"/>
      <c r="D492" s="1085"/>
      <c r="E492" s="1085"/>
      <c r="F492" s="1085"/>
      <c r="G492" s="1085"/>
      <c r="H492" s="1085"/>
    </row>
    <row r="493" spans="1:8" s="1" customFormat="1" ht="15">
      <c r="A493" s="570"/>
      <c r="B493" s="1086" t="s">
        <v>2793</v>
      </c>
      <c r="C493" s="1087"/>
      <c r="D493" s="1087"/>
      <c r="E493" s="1087"/>
      <c r="F493" s="1087"/>
      <c r="G493" s="1087"/>
      <c r="H493" s="1087"/>
    </row>
    <row r="494" spans="1:8" s="1" customFormat="1" ht="15">
      <c r="A494" s="571"/>
      <c r="B494" s="1084"/>
      <c r="C494" s="1085"/>
      <c r="D494" s="1085"/>
      <c r="E494" s="1085"/>
      <c r="F494" s="1085"/>
      <c r="G494" s="1085"/>
      <c r="H494" s="1085"/>
    </row>
    <row r="495" spans="1:8" s="1" customFormat="1" ht="15">
      <c r="A495" s="572"/>
      <c r="B495" s="569"/>
      <c r="C495" s="569"/>
      <c r="D495" s="569"/>
      <c r="E495" s="569"/>
      <c r="F495" s="569"/>
      <c r="G495" s="569"/>
      <c r="H495" s="569"/>
    </row>
    <row r="496" spans="1:8" s="1" customFormat="1" ht="15">
      <c r="A496" s="566"/>
      <c r="B496" s="573" t="s">
        <v>1604</v>
      </c>
      <c r="C496" s="573"/>
      <c r="D496" s="573"/>
      <c r="E496" s="573"/>
      <c r="F496" s="573"/>
      <c r="G496" s="573"/>
      <c r="H496" s="573"/>
    </row>
    <row r="497" spans="1:8" s="1" customFormat="1" ht="63">
      <c r="A497" s="566"/>
      <c r="B497" s="574" t="s">
        <v>3340</v>
      </c>
      <c r="C497" s="574" t="s">
        <v>3341</v>
      </c>
      <c r="D497" s="574" t="s">
        <v>3342</v>
      </c>
      <c r="E497" s="574" t="s">
        <v>3343</v>
      </c>
      <c r="F497" s="574" t="s">
        <v>3344</v>
      </c>
      <c r="G497" s="574" t="s">
        <v>3345</v>
      </c>
      <c r="H497" s="574" t="s">
        <v>1704</v>
      </c>
    </row>
    <row r="498" spans="1:8" s="1" customFormat="1" ht="63">
      <c r="A498" s="566"/>
      <c r="B498" s="575" t="s">
        <v>2330</v>
      </c>
      <c r="C498" s="576" t="s">
        <v>2794</v>
      </c>
      <c r="D498" s="577"/>
      <c r="E498" s="577"/>
      <c r="F498" s="578"/>
      <c r="G498" s="578"/>
      <c r="H498" s="579"/>
    </row>
    <row r="499" spans="1:8" s="1" customFormat="1" ht="31.5">
      <c r="A499" s="566"/>
      <c r="B499" s="580" t="s">
        <v>424</v>
      </c>
      <c r="C499" s="581" t="s">
        <v>1584</v>
      </c>
      <c r="D499" s="582">
        <v>1</v>
      </c>
      <c r="E499" s="583" t="s">
        <v>3170</v>
      </c>
      <c r="F499" s="584">
        <f>'update Rate'!F476</f>
        <v>3766</v>
      </c>
      <c r="G499" s="585">
        <f>FLOOR(D499*F499,0.01)</f>
        <v>3766</v>
      </c>
      <c r="H499" s="586"/>
    </row>
    <row r="500" spans="1:8" s="1" customFormat="1" ht="17.25">
      <c r="A500" s="566"/>
      <c r="B500" s="587"/>
      <c r="C500" s="587"/>
      <c r="D500" s="588"/>
      <c r="E500" s="589"/>
      <c r="F500" s="590"/>
      <c r="G500" s="590"/>
      <c r="H500" s="591">
        <f>SUM(G499)</f>
        <v>3766</v>
      </c>
    </row>
    <row r="501" spans="1:8" s="1" customFormat="1" ht="16.5">
      <c r="A501" s="566"/>
      <c r="B501" s="566"/>
      <c r="C501" s="566"/>
      <c r="D501" s="566"/>
      <c r="E501" s="566"/>
      <c r="F501" s="592" t="s">
        <v>1708</v>
      </c>
      <c r="G501" s="593"/>
      <c r="H501" s="594">
        <f>SUM(H497:H500)</f>
        <v>3766</v>
      </c>
    </row>
    <row r="502" spans="1:8" s="1" customFormat="1" ht="16.5">
      <c r="A502" s="566"/>
      <c r="B502" s="566" t="s">
        <v>426</v>
      </c>
      <c r="C502" s="566"/>
      <c r="D502" s="566"/>
      <c r="E502" s="566"/>
      <c r="F502" s="592" t="s">
        <v>1688</v>
      </c>
      <c r="G502" s="593"/>
      <c r="H502" s="594">
        <f>FLOOR(H501*0.15,0.01)</f>
        <v>564.9</v>
      </c>
    </row>
    <row r="503" spans="1:8" s="1" customFormat="1" ht="16.5">
      <c r="A503" s="595" t="s">
        <v>3384</v>
      </c>
      <c r="B503" s="596">
        <f>+H503</f>
        <v>4330.8999999999996</v>
      </c>
      <c r="C503" s="566" t="s">
        <v>3385</v>
      </c>
      <c r="D503" s="566"/>
      <c r="E503" s="566"/>
      <c r="F503" s="592" t="s">
        <v>1711</v>
      </c>
      <c r="G503" s="593"/>
      <c r="H503" s="596">
        <f>SUM(H501:H502)</f>
        <v>4330.8999999999996</v>
      </c>
    </row>
    <row r="504" spans="1:8" s="1" customFormat="1" ht="16.5">
      <c r="A504" s="597"/>
      <c r="B504" s="598"/>
      <c r="C504" s="566"/>
      <c r="D504" s="566"/>
      <c r="E504" s="566"/>
      <c r="F504" s="592"/>
      <c r="G504" s="593"/>
      <c r="H504" s="598"/>
    </row>
    <row r="505" spans="1:8" s="1" customFormat="1" ht="15">
      <c r="A505" s="566"/>
      <c r="B505" s="566"/>
      <c r="C505" s="566"/>
      <c r="D505" s="566"/>
      <c r="E505" s="566"/>
      <c r="F505" s="566"/>
      <c r="G505" s="566"/>
      <c r="H505" s="566"/>
    </row>
    <row r="506" spans="1:8" s="1" customFormat="1" ht="15">
      <c r="A506" s="566"/>
      <c r="B506" s="566"/>
      <c r="C506" s="566"/>
      <c r="D506" s="566"/>
      <c r="E506" s="566"/>
      <c r="F506" s="566"/>
      <c r="G506" s="566"/>
      <c r="H506" s="566"/>
    </row>
    <row r="507" spans="1:8" s="1" customFormat="1" ht="15">
      <c r="A507" s="566"/>
      <c r="B507" s="566"/>
      <c r="C507" s="566"/>
      <c r="D507" s="566"/>
      <c r="E507" s="566"/>
      <c r="F507" s="566"/>
      <c r="G507" s="566"/>
      <c r="H507" s="566"/>
    </row>
    <row r="508" spans="1:8" s="1" customFormat="1" ht="15">
      <c r="A508" s="566"/>
      <c r="B508" s="566"/>
      <c r="C508" s="566"/>
      <c r="D508" s="566"/>
      <c r="E508" s="566"/>
      <c r="F508" s="566"/>
      <c r="G508" s="566"/>
      <c r="H508" s="566"/>
    </row>
    <row r="509" spans="1:8" s="1" customFormat="1" ht="15">
      <c r="A509" s="568">
        <f>A492+1</f>
        <v>321</v>
      </c>
      <c r="B509" s="1084"/>
      <c r="C509" s="1085"/>
      <c r="D509" s="1085"/>
      <c r="E509" s="1085"/>
      <c r="F509" s="1085"/>
      <c r="G509" s="1085"/>
      <c r="H509" s="1085"/>
    </row>
    <row r="510" spans="1:8" s="1" customFormat="1" ht="15">
      <c r="A510" s="570"/>
      <c r="B510" s="1086" t="s">
        <v>2795</v>
      </c>
      <c r="C510" s="1087"/>
      <c r="D510" s="1087"/>
      <c r="E510" s="1087"/>
      <c r="F510" s="1087"/>
      <c r="G510" s="1087"/>
      <c r="H510" s="1087"/>
    </row>
    <row r="511" spans="1:8" s="1" customFormat="1" ht="15">
      <c r="A511" s="571"/>
      <c r="B511" s="1084"/>
      <c r="C511" s="1085"/>
      <c r="D511" s="1085"/>
      <c r="E511" s="1085"/>
      <c r="F511" s="1085"/>
      <c r="G511" s="1085"/>
      <c r="H511" s="1085"/>
    </row>
    <row r="512" spans="1:8" s="1" customFormat="1" ht="15">
      <c r="A512" s="572"/>
      <c r="B512" s="569"/>
      <c r="C512" s="569"/>
      <c r="D512" s="569"/>
      <c r="E512" s="569"/>
      <c r="F512" s="569"/>
      <c r="G512" s="569"/>
      <c r="H512" s="569"/>
    </row>
    <row r="513" spans="1:8" s="1" customFormat="1" ht="15">
      <c r="A513" s="566"/>
      <c r="B513" s="573" t="s">
        <v>1604</v>
      </c>
      <c r="C513" s="573"/>
      <c r="D513" s="573"/>
      <c r="E513" s="573"/>
      <c r="F513" s="573"/>
      <c r="G513" s="573"/>
      <c r="H513" s="573"/>
    </row>
    <row r="514" spans="1:8" s="1" customFormat="1" ht="63">
      <c r="A514" s="566"/>
      <c r="B514" s="574" t="s">
        <v>3340</v>
      </c>
      <c r="C514" s="574" t="s">
        <v>3341</v>
      </c>
      <c r="D514" s="574" t="s">
        <v>3342</v>
      </c>
      <c r="E514" s="574" t="s">
        <v>3343</v>
      </c>
      <c r="F514" s="574" t="s">
        <v>3344</v>
      </c>
      <c r="G514" s="574" t="s">
        <v>3345</v>
      </c>
      <c r="H514" s="574" t="s">
        <v>1704</v>
      </c>
    </row>
    <row r="515" spans="1:8" s="1" customFormat="1" ht="63">
      <c r="A515" s="566"/>
      <c r="B515" s="575" t="s">
        <v>2330</v>
      </c>
      <c r="C515" s="576" t="s">
        <v>2556</v>
      </c>
      <c r="D515" s="577"/>
      <c r="E515" s="577"/>
      <c r="F515" s="578"/>
      <c r="G515" s="578"/>
      <c r="H515" s="579"/>
    </row>
    <row r="516" spans="1:8" s="1" customFormat="1" ht="31.5">
      <c r="A516" s="566"/>
      <c r="B516" s="580" t="s">
        <v>424</v>
      </c>
      <c r="C516" s="581" t="s">
        <v>1584</v>
      </c>
      <c r="D516" s="582">
        <v>1</v>
      </c>
      <c r="E516" s="583" t="s">
        <v>3170</v>
      </c>
      <c r="F516" s="584">
        <f>'update Rate'!F477</f>
        <v>3766</v>
      </c>
      <c r="G516" s="585">
        <f>FLOOR(D516*F516,0.01)</f>
        <v>3766</v>
      </c>
      <c r="H516" s="586"/>
    </row>
    <row r="517" spans="1:8" s="1" customFormat="1" ht="17.25">
      <c r="A517" s="566"/>
      <c r="B517" s="587"/>
      <c r="C517" s="587"/>
      <c r="D517" s="588"/>
      <c r="E517" s="589"/>
      <c r="F517" s="590"/>
      <c r="G517" s="590"/>
      <c r="H517" s="591">
        <f>SUM(G516)</f>
        <v>3766</v>
      </c>
    </row>
    <row r="518" spans="1:8" s="1" customFormat="1" ht="16.5">
      <c r="A518" s="566"/>
      <c r="B518" s="566"/>
      <c r="C518" s="566"/>
      <c r="D518" s="566"/>
      <c r="E518" s="566"/>
      <c r="F518" s="592" t="s">
        <v>1708</v>
      </c>
      <c r="G518" s="593"/>
      <c r="H518" s="594">
        <f>SUM(H514:H517)</f>
        <v>3766</v>
      </c>
    </row>
    <row r="519" spans="1:8" s="1" customFormat="1" ht="16.5">
      <c r="A519" s="566"/>
      <c r="B519" s="566" t="s">
        <v>426</v>
      </c>
      <c r="C519" s="566"/>
      <c r="D519" s="566"/>
      <c r="E519" s="566"/>
      <c r="F519" s="592" t="s">
        <v>1688</v>
      </c>
      <c r="G519" s="593"/>
      <c r="H519" s="594">
        <f>FLOOR(H518*0.15,0.01)</f>
        <v>564.9</v>
      </c>
    </row>
    <row r="520" spans="1:8" s="1" customFormat="1" ht="16.5">
      <c r="A520" s="595" t="s">
        <v>3384</v>
      </c>
      <c r="B520" s="596">
        <f>+H520</f>
        <v>4330.8999999999996</v>
      </c>
      <c r="C520" s="566" t="s">
        <v>3385</v>
      </c>
      <c r="D520" s="566"/>
      <c r="E520" s="566"/>
      <c r="F520" s="592" t="s">
        <v>1711</v>
      </c>
      <c r="G520" s="593"/>
      <c r="H520" s="596">
        <f>SUM(H518:H519)</f>
        <v>4330.8999999999996</v>
      </c>
    </row>
    <row r="521" spans="1:8" s="1" customFormat="1" ht="16.5">
      <c r="A521" s="597"/>
      <c r="B521" s="598"/>
      <c r="C521" s="566"/>
      <c r="D521" s="566"/>
      <c r="E521" s="566"/>
      <c r="F521" s="592"/>
      <c r="G521" s="593"/>
      <c r="H521" s="598"/>
    </row>
    <row r="522" spans="1:8" s="1" customFormat="1" ht="15">
      <c r="A522" s="566"/>
      <c r="B522" s="566"/>
      <c r="C522" s="566"/>
      <c r="D522" s="566"/>
      <c r="E522" s="566"/>
      <c r="F522" s="566"/>
      <c r="G522" s="566"/>
      <c r="H522" s="566"/>
    </row>
    <row r="523" spans="1:8" s="1" customFormat="1" ht="15">
      <c r="A523" s="566"/>
      <c r="B523" s="566"/>
      <c r="C523" s="566"/>
      <c r="D523" s="566"/>
      <c r="E523" s="566"/>
      <c r="F523" s="566"/>
      <c r="G523" s="566"/>
      <c r="H523" s="566"/>
    </row>
    <row r="524" spans="1:8" s="1" customFormat="1" ht="15">
      <c r="A524" s="566"/>
      <c r="B524" s="566"/>
      <c r="C524" s="566"/>
      <c r="D524" s="566"/>
      <c r="E524" s="566"/>
      <c r="F524" s="566"/>
      <c r="G524" s="566"/>
      <c r="H524" s="566"/>
    </row>
    <row r="525" spans="1:8" s="1" customFormat="1" ht="15">
      <c r="A525" s="566"/>
      <c r="B525" s="566"/>
      <c r="C525" s="566"/>
      <c r="D525" s="566"/>
      <c r="E525" s="566"/>
      <c r="F525" s="566"/>
      <c r="G525" s="566"/>
      <c r="H525" s="566"/>
    </row>
    <row r="526" spans="1:8" s="1" customFormat="1" ht="15">
      <c r="A526" s="566"/>
      <c r="B526" s="566"/>
      <c r="C526" s="566"/>
      <c r="D526" s="566"/>
      <c r="E526" s="566"/>
      <c r="F526" s="566"/>
      <c r="G526" s="566"/>
      <c r="H526" s="566"/>
    </row>
    <row r="527" spans="1:8" s="1" customFormat="1" ht="15">
      <c r="A527" s="566"/>
      <c r="B527" s="566"/>
      <c r="C527" s="566"/>
      <c r="D527" s="566"/>
      <c r="E527" s="566"/>
      <c r="F527" s="566"/>
      <c r="G527" s="566"/>
      <c r="H527" s="566"/>
    </row>
    <row r="528" spans="1:8" s="1" customFormat="1" ht="15">
      <c r="A528" s="566"/>
      <c r="B528" s="566"/>
      <c r="C528" s="566"/>
      <c r="D528" s="566"/>
      <c r="E528" s="566"/>
      <c r="F528" s="566"/>
      <c r="G528" s="566"/>
      <c r="H528" s="566"/>
    </row>
    <row r="529" spans="1:8" s="1" customFormat="1" ht="15">
      <c r="A529" s="566"/>
      <c r="B529" s="566"/>
      <c r="C529" s="566"/>
      <c r="D529" s="566"/>
      <c r="E529" s="566"/>
      <c r="F529" s="566"/>
      <c r="G529" s="566"/>
      <c r="H529" s="566"/>
    </row>
    <row r="530" spans="1:8" s="1" customFormat="1" ht="15">
      <c r="A530" s="566"/>
      <c r="B530" s="566"/>
      <c r="C530" s="566"/>
      <c r="D530" s="566"/>
      <c r="E530" s="566"/>
      <c r="F530" s="566"/>
      <c r="G530" s="566"/>
      <c r="H530" s="566"/>
    </row>
    <row r="531" spans="1:8" s="1" customFormat="1" ht="15">
      <c r="A531" s="566"/>
      <c r="B531" s="566"/>
      <c r="C531" s="566"/>
      <c r="D531" s="566"/>
      <c r="E531" s="566"/>
      <c r="F531" s="566"/>
      <c r="G531" s="566"/>
      <c r="H531" s="566"/>
    </row>
    <row r="532" spans="1:8" s="1" customFormat="1" ht="15">
      <c r="A532" s="566"/>
      <c r="B532" s="566"/>
      <c r="C532" s="566"/>
      <c r="D532" s="566"/>
      <c r="E532" s="566"/>
      <c r="F532" s="566"/>
      <c r="G532" s="566"/>
      <c r="H532" s="566"/>
    </row>
    <row r="533" spans="1:8" s="1" customFormat="1" ht="15">
      <c r="A533" s="566"/>
      <c r="B533" s="566"/>
      <c r="C533" s="566"/>
      <c r="D533" s="566"/>
      <c r="E533" s="566"/>
      <c r="F533" s="566"/>
      <c r="G533" s="566"/>
      <c r="H533" s="566"/>
    </row>
    <row r="534" spans="1:8" s="1" customFormat="1" ht="15">
      <c r="A534" s="566"/>
      <c r="B534" s="566"/>
      <c r="C534" s="566"/>
      <c r="D534" s="566"/>
      <c r="E534" s="566"/>
      <c r="F534" s="566"/>
      <c r="G534" s="566"/>
      <c r="H534" s="566"/>
    </row>
    <row r="535" spans="1:8" s="1" customFormat="1" ht="15">
      <c r="A535" s="566"/>
      <c r="B535" s="566"/>
      <c r="C535" s="566"/>
      <c r="D535" s="566"/>
      <c r="E535" s="566"/>
      <c r="F535" s="566"/>
      <c r="G535" s="566"/>
      <c r="H535" s="566"/>
    </row>
    <row r="536" spans="1:8" s="1" customFormat="1" ht="15">
      <c r="A536" s="566"/>
      <c r="B536" s="566"/>
      <c r="C536" s="566"/>
      <c r="D536" s="566"/>
      <c r="E536" s="566"/>
      <c r="F536" s="566"/>
      <c r="G536" s="566"/>
      <c r="H536" s="566"/>
    </row>
    <row r="537" spans="1:8" s="1" customFormat="1" ht="15">
      <c r="A537" s="566"/>
      <c r="B537" s="566"/>
      <c r="C537" s="566"/>
      <c r="D537" s="566"/>
      <c r="E537" s="566"/>
      <c r="F537" s="566"/>
      <c r="G537" s="566"/>
      <c r="H537" s="566"/>
    </row>
    <row r="538" spans="1:8" s="1" customFormat="1" ht="15">
      <c r="A538" s="566"/>
      <c r="B538" s="566"/>
      <c r="C538" s="566"/>
      <c r="D538" s="566"/>
      <c r="E538" s="566"/>
      <c r="F538" s="566"/>
      <c r="G538" s="566"/>
      <c r="H538" s="566"/>
    </row>
    <row r="539" spans="1:8" s="1" customFormat="1" ht="15">
      <c r="A539" s="566"/>
      <c r="B539" s="566"/>
      <c r="C539" s="566"/>
      <c r="D539" s="566"/>
      <c r="E539" s="566"/>
      <c r="F539" s="566"/>
      <c r="G539" s="566"/>
      <c r="H539" s="566"/>
    </row>
    <row r="540" spans="1:8" s="1" customFormat="1" ht="15">
      <c r="A540" s="566"/>
      <c r="B540" s="566"/>
      <c r="C540" s="566"/>
      <c r="D540" s="566"/>
      <c r="E540" s="566"/>
      <c r="F540" s="566"/>
      <c r="G540" s="566"/>
      <c r="H540" s="566"/>
    </row>
    <row r="541" spans="1:8" s="1" customFormat="1" ht="15">
      <c r="A541" s="568">
        <f>A509+1</f>
        <v>322</v>
      </c>
      <c r="B541" s="1084"/>
      <c r="C541" s="1085"/>
      <c r="D541" s="1085"/>
      <c r="E541" s="1085"/>
      <c r="F541" s="1085"/>
      <c r="G541" s="1085"/>
      <c r="H541" s="1085"/>
    </row>
    <row r="542" spans="1:8" s="1" customFormat="1" ht="15">
      <c r="A542" s="570"/>
      <c r="B542" s="1086" t="s">
        <v>2557</v>
      </c>
      <c r="C542" s="1087"/>
      <c r="D542" s="1087"/>
      <c r="E542" s="1087"/>
      <c r="F542" s="1087"/>
      <c r="G542" s="1087"/>
      <c r="H542" s="1087"/>
    </row>
    <row r="543" spans="1:8" s="1" customFormat="1" ht="15">
      <c r="A543" s="571"/>
      <c r="B543" s="1084"/>
      <c r="C543" s="1085"/>
      <c r="D543" s="1085"/>
      <c r="E543" s="1085"/>
      <c r="F543" s="1085"/>
      <c r="G543" s="1085"/>
      <c r="H543" s="1085"/>
    </row>
    <row r="544" spans="1:8" s="1" customFormat="1" ht="15">
      <c r="A544" s="572"/>
      <c r="B544" s="569"/>
      <c r="C544" s="569"/>
      <c r="D544" s="569"/>
      <c r="E544" s="569"/>
      <c r="F544" s="569"/>
      <c r="G544" s="569"/>
      <c r="H544" s="569"/>
    </row>
    <row r="545" spans="1:8" s="1" customFormat="1" ht="15">
      <c r="A545" s="566"/>
      <c r="B545" s="573" t="s">
        <v>1604</v>
      </c>
      <c r="C545" s="573"/>
      <c r="D545" s="573"/>
      <c r="E545" s="573"/>
      <c r="F545" s="573"/>
      <c r="G545" s="573"/>
      <c r="H545" s="573"/>
    </row>
    <row r="546" spans="1:8" s="1" customFormat="1" ht="63">
      <c r="A546" s="566"/>
      <c r="B546" s="574" t="s">
        <v>3340</v>
      </c>
      <c r="C546" s="574" t="s">
        <v>3341</v>
      </c>
      <c r="D546" s="574" t="s">
        <v>3342</v>
      </c>
      <c r="E546" s="574" t="s">
        <v>3343</v>
      </c>
      <c r="F546" s="574" t="s">
        <v>3344</v>
      </c>
      <c r="G546" s="574" t="s">
        <v>3345</v>
      </c>
      <c r="H546" s="574" t="s">
        <v>1704</v>
      </c>
    </row>
    <row r="547" spans="1:8" s="1" customFormat="1" ht="63">
      <c r="A547" s="566"/>
      <c r="B547" s="575" t="s">
        <v>2330</v>
      </c>
      <c r="C547" s="576" t="s">
        <v>2558</v>
      </c>
      <c r="D547" s="577"/>
      <c r="E547" s="577"/>
      <c r="F547" s="578"/>
      <c r="G547" s="578"/>
      <c r="H547" s="579"/>
    </row>
    <row r="548" spans="1:8" s="1" customFormat="1" ht="31.5">
      <c r="A548" s="566"/>
      <c r="B548" s="580" t="s">
        <v>424</v>
      </c>
      <c r="C548" s="581" t="s">
        <v>1584</v>
      </c>
      <c r="D548" s="582">
        <v>1</v>
      </c>
      <c r="E548" s="583" t="s">
        <v>3170</v>
      </c>
      <c r="F548" s="584">
        <f>'update Rate'!F478</f>
        <v>4002.72</v>
      </c>
      <c r="G548" s="585">
        <f>FLOOR(D548*F548,0.01)</f>
        <v>4002.7200000000003</v>
      </c>
      <c r="H548" s="586"/>
    </row>
    <row r="549" spans="1:8" s="1" customFormat="1" ht="17.25">
      <c r="A549" s="566"/>
      <c r="B549" s="587"/>
      <c r="C549" s="587"/>
      <c r="D549" s="588"/>
      <c r="E549" s="589"/>
      <c r="F549" s="590"/>
      <c r="G549" s="590"/>
      <c r="H549" s="591">
        <f>SUM(G548)</f>
        <v>4002.7200000000003</v>
      </c>
    </row>
    <row r="550" spans="1:8" s="1" customFormat="1" ht="16.5">
      <c r="A550" s="566"/>
      <c r="B550" s="566"/>
      <c r="C550" s="566"/>
      <c r="D550" s="566"/>
      <c r="E550" s="566"/>
      <c r="F550" s="592" t="s">
        <v>1708</v>
      </c>
      <c r="G550" s="593"/>
      <c r="H550" s="594">
        <f>SUM(H546:H549)</f>
        <v>4002.7200000000003</v>
      </c>
    </row>
    <row r="551" spans="1:8" s="1" customFormat="1" ht="16.5">
      <c r="A551" s="566"/>
      <c r="B551" s="566" t="s">
        <v>426</v>
      </c>
      <c r="C551" s="566"/>
      <c r="D551" s="566"/>
      <c r="E551" s="566"/>
      <c r="F551" s="592" t="s">
        <v>1688</v>
      </c>
      <c r="G551" s="593"/>
      <c r="H551" s="594">
        <f>FLOOR(H550*0.15,0.01)</f>
        <v>600.4</v>
      </c>
    </row>
    <row r="552" spans="1:8" s="1" customFormat="1" ht="16.5">
      <c r="A552" s="595" t="s">
        <v>3384</v>
      </c>
      <c r="B552" s="596">
        <f>+H552</f>
        <v>4603.12</v>
      </c>
      <c r="C552" s="566" t="s">
        <v>3385</v>
      </c>
      <c r="D552" s="566"/>
      <c r="E552" s="566"/>
      <c r="F552" s="592" t="s">
        <v>1711</v>
      </c>
      <c r="G552" s="593"/>
      <c r="H552" s="596">
        <f>SUM(H550:H551)</f>
        <v>4603.12</v>
      </c>
    </row>
    <row r="553" spans="1:8" s="1" customFormat="1" ht="16.5">
      <c r="A553" s="597"/>
      <c r="B553" s="598"/>
      <c r="C553" s="566"/>
      <c r="D553" s="566"/>
      <c r="E553" s="566"/>
      <c r="F553" s="592"/>
      <c r="G553" s="593"/>
      <c r="H553" s="598"/>
    </row>
    <row r="554" spans="1:8" s="1" customFormat="1" ht="15">
      <c r="A554" s="566"/>
      <c r="B554" s="566"/>
      <c r="C554" s="566"/>
      <c r="D554" s="566"/>
      <c r="E554" s="566"/>
      <c r="F554" s="566"/>
      <c r="G554" s="566"/>
      <c r="H554" s="566"/>
    </row>
    <row r="555" spans="1:8" s="1" customFormat="1" ht="15">
      <c r="A555" s="566"/>
      <c r="B555" s="566"/>
      <c r="C555" s="566"/>
      <c r="D555" s="566"/>
      <c r="E555" s="566"/>
      <c r="F555" s="566"/>
      <c r="G555" s="566"/>
      <c r="H555" s="566"/>
    </row>
    <row r="556" spans="1:8" s="1" customFormat="1" ht="15">
      <c r="A556" s="566"/>
      <c r="B556" s="566"/>
      <c r="C556" s="566"/>
      <c r="D556" s="566"/>
      <c r="E556" s="566"/>
      <c r="F556" s="566"/>
      <c r="G556" s="566"/>
      <c r="H556" s="566"/>
    </row>
    <row r="557" spans="1:8" s="1" customFormat="1" ht="15">
      <c r="A557" s="566"/>
      <c r="B557" s="566"/>
      <c r="C557" s="566"/>
      <c r="D557" s="566"/>
      <c r="E557" s="566"/>
      <c r="F557" s="566"/>
      <c r="G557" s="566"/>
      <c r="H557" s="566"/>
    </row>
    <row r="558" spans="1:8" s="1" customFormat="1" ht="15">
      <c r="A558" s="568">
        <f>A541+1</f>
        <v>323</v>
      </c>
      <c r="B558" s="1084"/>
      <c r="C558" s="1085"/>
      <c r="D558" s="1085"/>
      <c r="E558" s="1085"/>
      <c r="F558" s="1085"/>
      <c r="G558" s="1085"/>
      <c r="H558" s="1085"/>
    </row>
    <row r="559" spans="1:8" s="1" customFormat="1" ht="15">
      <c r="A559" s="570"/>
      <c r="B559" s="1086" t="s">
        <v>2559</v>
      </c>
      <c r="C559" s="1087"/>
      <c r="D559" s="1087"/>
      <c r="E559" s="1087"/>
      <c r="F559" s="1087"/>
      <c r="G559" s="1087"/>
      <c r="H559" s="1087"/>
    </row>
    <row r="560" spans="1:8" s="1" customFormat="1" ht="15">
      <c r="A560" s="571"/>
      <c r="B560" s="1084"/>
      <c r="C560" s="1085"/>
      <c r="D560" s="1085"/>
      <c r="E560" s="1085"/>
      <c r="F560" s="1085"/>
      <c r="G560" s="1085"/>
      <c r="H560" s="1085"/>
    </row>
    <row r="561" spans="1:8" s="1" customFormat="1" ht="15">
      <c r="A561" s="572"/>
      <c r="B561" s="569"/>
      <c r="C561" s="569"/>
      <c r="D561" s="569"/>
      <c r="E561" s="569"/>
      <c r="F561" s="569"/>
      <c r="G561" s="569"/>
      <c r="H561" s="569"/>
    </row>
    <row r="562" spans="1:8" s="1" customFormat="1" ht="15">
      <c r="A562" s="566"/>
      <c r="B562" s="573" t="s">
        <v>1604</v>
      </c>
      <c r="C562" s="573"/>
      <c r="D562" s="573"/>
      <c r="E562" s="573"/>
      <c r="F562" s="573"/>
      <c r="G562" s="573"/>
      <c r="H562" s="573"/>
    </row>
    <row r="563" spans="1:8" s="1" customFormat="1" ht="63">
      <c r="A563" s="566"/>
      <c r="B563" s="574" t="s">
        <v>3340</v>
      </c>
      <c r="C563" s="574" t="s">
        <v>3341</v>
      </c>
      <c r="D563" s="574" t="s">
        <v>3342</v>
      </c>
      <c r="E563" s="574" t="s">
        <v>3343</v>
      </c>
      <c r="F563" s="574" t="s">
        <v>3344</v>
      </c>
      <c r="G563" s="574" t="s">
        <v>3345</v>
      </c>
      <c r="H563" s="574" t="s">
        <v>1704</v>
      </c>
    </row>
    <row r="564" spans="1:8" s="1" customFormat="1" ht="63">
      <c r="A564" s="566"/>
      <c r="B564" s="575" t="s">
        <v>2330</v>
      </c>
      <c r="C564" s="576" t="s">
        <v>2560</v>
      </c>
      <c r="D564" s="577"/>
      <c r="E564" s="577"/>
      <c r="F564" s="578"/>
      <c r="G564" s="578"/>
      <c r="H564" s="579"/>
    </row>
    <row r="565" spans="1:8" s="1" customFormat="1" ht="31.5">
      <c r="A565" s="566"/>
      <c r="B565" s="580" t="s">
        <v>424</v>
      </c>
      <c r="C565" s="581" t="s">
        <v>1584</v>
      </c>
      <c r="D565" s="582">
        <v>1</v>
      </c>
      <c r="E565" s="583" t="s">
        <v>3170</v>
      </c>
      <c r="F565" s="584">
        <f>'update Rate'!F479</f>
        <v>4476.16</v>
      </c>
      <c r="G565" s="585">
        <f>FLOOR(D565*F565,0.01)</f>
        <v>4476.16</v>
      </c>
      <c r="H565" s="586"/>
    </row>
    <row r="566" spans="1:8" s="1" customFormat="1" ht="17.25">
      <c r="A566" s="566"/>
      <c r="B566" s="587"/>
      <c r="C566" s="587"/>
      <c r="D566" s="588"/>
      <c r="E566" s="589"/>
      <c r="F566" s="590"/>
      <c r="G566" s="590"/>
      <c r="H566" s="591">
        <f>SUM(G565)</f>
        <v>4476.16</v>
      </c>
    </row>
    <row r="567" spans="1:8" s="1" customFormat="1" ht="16.5">
      <c r="A567" s="566"/>
      <c r="B567" s="566"/>
      <c r="C567" s="566"/>
      <c r="D567" s="566"/>
      <c r="E567" s="566"/>
      <c r="F567" s="592" t="s">
        <v>1708</v>
      </c>
      <c r="G567" s="593"/>
      <c r="H567" s="594">
        <f>SUM(H563:H566)</f>
        <v>4476.16</v>
      </c>
    </row>
    <row r="568" spans="1:8" s="1" customFormat="1" ht="16.5">
      <c r="A568" s="566"/>
      <c r="B568" s="566" t="s">
        <v>426</v>
      </c>
      <c r="C568" s="566"/>
      <c r="D568" s="566"/>
      <c r="E568" s="566"/>
      <c r="F568" s="592" t="s">
        <v>1688</v>
      </c>
      <c r="G568" s="593"/>
      <c r="H568" s="594">
        <f>FLOOR(H567*0.15,0.01)</f>
        <v>671.42</v>
      </c>
    </row>
    <row r="569" spans="1:8" s="1" customFormat="1" ht="16.5">
      <c r="A569" s="595" t="s">
        <v>3384</v>
      </c>
      <c r="B569" s="596">
        <f>+H569</f>
        <v>5147.58</v>
      </c>
      <c r="C569" s="566" t="s">
        <v>3385</v>
      </c>
      <c r="D569" s="566"/>
      <c r="E569" s="566"/>
      <c r="F569" s="592" t="s">
        <v>1711</v>
      </c>
      <c r="G569" s="593"/>
      <c r="H569" s="596">
        <f>SUM(H567:H568)</f>
        <v>5147.58</v>
      </c>
    </row>
    <row r="570" spans="1:8" s="1" customFormat="1" ht="16.5">
      <c r="A570" s="597"/>
      <c r="B570" s="598"/>
      <c r="C570" s="566"/>
      <c r="D570" s="566"/>
      <c r="E570" s="566"/>
      <c r="F570" s="592"/>
      <c r="G570" s="593"/>
      <c r="H570" s="598"/>
    </row>
    <row r="571" spans="1:8" s="1" customFormat="1" ht="16.5">
      <c r="A571" s="652"/>
      <c r="B571" s="598"/>
      <c r="C571" s="566"/>
      <c r="D571" s="566"/>
      <c r="E571" s="566"/>
      <c r="F571" s="592"/>
      <c r="G571" s="593"/>
      <c r="H571" s="598"/>
    </row>
    <row r="572" spans="1:8" s="1" customFormat="1" ht="16.5">
      <c r="A572" s="652"/>
      <c r="B572" s="598"/>
      <c r="C572" s="566"/>
      <c r="D572" s="566"/>
      <c r="E572" s="566"/>
      <c r="F572" s="592"/>
      <c r="G572" s="593"/>
      <c r="H572" s="598"/>
    </row>
    <row r="573" spans="1:8" s="1" customFormat="1" ht="15" customHeight="1">
      <c r="A573" s="145">
        <f>'Update Descrip'!A2010+1</f>
        <v>118</v>
      </c>
      <c r="B573" s="1080"/>
      <c r="C573" s="1081"/>
      <c r="D573" s="1081"/>
      <c r="E573" s="1081"/>
      <c r="F573" s="1081"/>
      <c r="G573" s="1081"/>
      <c r="H573" s="1081"/>
    </row>
    <row r="574" spans="1:8" s="1" customFormat="1" ht="45.75" customHeight="1">
      <c r="A574" s="15"/>
      <c r="B574" s="1078" t="s">
        <v>3595</v>
      </c>
      <c r="C574" s="1079"/>
      <c r="D574" s="1079"/>
      <c r="E574" s="1079"/>
      <c r="F574" s="1079"/>
      <c r="G574" s="1079"/>
      <c r="H574" s="1079"/>
    </row>
    <row r="575" spans="1:8" s="1" customFormat="1" ht="15.95" customHeight="1">
      <c r="A575" s="695"/>
      <c r="B575" s="1081"/>
      <c r="C575" s="1081"/>
      <c r="D575" s="1081"/>
      <c r="E575" s="1081"/>
      <c r="F575" s="1081"/>
      <c r="G575" s="1081"/>
      <c r="H575" s="1081"/>
    </row>
    <row r="576" spans="1:8" s="1" customFormat="1" ht="15.95" customHeight="1">
      <c r="B576" s="1083" t="s">
        <v>1604</v>
      </c>
      <c r="C576" s="1083"/>
      <c r="D576" s="1083"/>
      <c r="E576" s="1083"/>
      <c r="F576" s="1083"/>
      <c r="G576" s="1083"/>
      <c r="H576" s="1083"/>
    </row>
    <row r="577" spans="1:8" s="1" customFormat="1" ht="63">
      <c r="B577" s="70" t="s">
        <v>3340</v>
      </c>
      <c r="C577" s="70" t="s">
        <v>3341</v>
      </c>
      <c r="D577" s="70" t="s">
        <v>3342</v>
      </c>
      <c r="E577" s="70" t="s">
        <v>3343</v>
      </c>
      <c r="F577" s="70" t="s">
        <v>3344</v>
      </c>
      <c r="G577" s="70" t="s">
        <v>3345</v>
      </c>
      <c r="H577" s="70" t="s">
        <v>1704</v>
      </c>
    </row>
    <row r="578" spans="1:8" s="1" customFormat="1" ht="18" customHeight="1">
      <c r="B578" s="60" t="s">
        <v>2330</v>
      </c>
      <c r="C578" s="285" t="s">
        <v>434</v>
      </c>
      <c r="D578" s="8"/>
      <c r="E578" s="8"/>
      <c r="F578" s="111"/>
      <c r="G578" s="111"/>
      <c r="H578" s="112"/>
    </row>
    <row r="579" spans="1:8" s="1" customFormat="1" ht="31.5">
      <c r="B579" s="83" t="s">
        <v>424</v>
      </c>
      <c r="C579" s="82" t="s">
        <v>1584</v>
      </c>
      <c r="D579" s="44">
        <v>1</v>
      </c>
      <c r="E579" s="55" t="s">
        <v>3170</v>
      </c>
      <c r="F579" s="120" t="e">
        <f>'update Rate'!#REF!</f>
        <v>#REF!</v>
      </c>
      <c r="G579" s="113" t="e">
        <f>FLOOR(D579*F579,0.01)</f>
        <v>#REF!</v>
      </c>
      <c r="H579" s="9"/>
    </row>
    <row r="580" spans="1:8" s="1" customFormat="1" ht="17.25">
      <c r="B580" s="80"/>
      <c r="C580" s="80"/>
      <c r="D580" s="53"/>
      <c r="E580" s="58"/>
      <c r="F580" s="126"/>
      <c r="G580" s="126"/>
      <c r="H580" s="127" t="e">
        <f>SUM(G579)</f>
        <v>#REF!</v>
      </c>
    </row>
    <row r="581" spans="1:8" s="1" customFormat="1" ht="16.5">
      <c r="F581" s="42" t="s">
        <v>1708</v>
      </c>
      <c r="G581" s="106"/>
      <c r="H581" s="65" t="e">
        <f>SUM(H577:H580)</f>
        <v>#REF!</v>
      </c>
    </row>
    <row r="582" spans="1:8" s="1" customFormat="1" ht="16.5">
      <c r="B582" s="1" t="s">
        <v>426</v>
      </c>
      <c r="F582" s="42" t="s">
        <v>1688</v>
      </c>
      <c r="G582" s="106"/>
      <c r="H582" s="65" t="e">
        <f>FLOOR(H581*0.15,0.01)</f>
        <v>#REF!</v>
      </c>
    </row>
    <row r="583" spans="1:8" s="1" customFormat="1" ht="18" customHeight="1">
      <c r="A583" s="28" t="s">
        <v>3384</v>
      </c>
      <c r="B583" s="103" t="e">
        <f>+H583</f>
        <v>#REF!</v>
      </c>
      <c r="C583" s="1" t="s">
        <v>3385</v>
      </c>
      <c r="F583" s="42" t="s">
        <v>1711</v>
      </c>
      <c r="G583" s="106"/>
      <c r="H583" s="103" t="e">
        <f>SUM(H581:H582)</f>
        <v>#REF!</v>
      </c>
    </row>
    <row r="584" spans="1:8" s="1" customFormat="1" ht="18" customHeight="1">
      <c r="A584" s="28"/>
      <c r="B584" s="151"/>
      <c r="F584" s="42"/>
      <c r="G584" s="106"/>
      <c r="H584" s="151"/>
    </row>
    <row r="585" spans="1:8" s="1" customFormat="1" ht="18" customHeight="1">
      <c r="A585" s="28"/>
      <c r="B585" s="151"/>
      <c r="F585" s="42"/>
      <c r="G585" s="106"/>
      <c r="H585" s="151"/>
    </row>
    <row r="586" spans="1:8" s="1" customFormat="1" ht="15">
      <c r="A586" s="145">
        <f>A573+1</f>
        <v>119</v>
      </c>
      <c r="B586" s="1080"/>
      <c r="C586" s="1081"/>
      <c r="D586" s="1081"/>
      <c r="E586" s="1081"/>
      <c r="F586" s="1081"/>
      <c r="G586" s="1081"/>
      <c r="H586" s="1081"/>
    </row>
    <row r="587" spans="1:8" s="1" customFormat="1" ht="40.5" customHeight="1">
      <c r="A587" s="15"/>
      <c r="B587" s="1078" t="s">
        <v>3606</v>
      </c>
      <c r="C587" s="1079"/>
      <c r="D587" s="1079"/>
      <c r="E587" s="1079"/>
      <c r="F587" s="1079"/>
      <c r="G587" s="1079"/>
      <c r="H587" s="1079"/>
    </row>
    <row r="588" spans="1:8" s="1" customFormat="1" ht="18" customHeight="1">
      <c r="A588" s="695"/>
      <c r="B588" s="1081"/>
      <c r="C588" s="1081"/>
      <c r="D588" s="1081"/>
      <c r="E588" s="1081"/>
      <c r="F588" s="1081"/>
      <c r="G588" s="1081"/>
      <c r="H588" s="1081"/>
    </row>
    <row r="589" spans="1:8" s="1" customFormat="1" ht="15">
      <c r="B589" s="1083" t="s">
        <v>1604</v>
      </c>
      <c r="C589" s="1083"/>
      <c r="D589" s="1083"/>
      <c r="E589" s="1083"/>
      <c r="F589" s="1083"/>
      <c r="G589" s="1083"/>
      <c r="H589" s="1083"/>
    </row>
    <row r="590" spans="1:8" s="1" customFormat="1" ht="63">
      <c r="B590" s="70" t="s">
        <v>3340</v>
      </c>
      <c r="C590" s="70" t="s">
        <v>3341</v>
      </c>
      <c r="D590" s="70" t="s">
        <v>3342</v>
      </c>
      <c r="E590" s="70" t="s">
        <v>3343</v>
      </c>
      <c r="F590" s="70" t="s">
        <v>3344</v>
      </c>
      <c r="G590" s="70" t="s">
        <v>3345</v>
      </c>
      <c r="H590" s="70" t="s">
        <v>1704</v>
      </c>
    </row>
    <row r="591" spans="1:8" s="1" customFormat="1" ht="18" customHeight="1">
      <c r="B591" s="60" t="s">
        <v>2330</v>
      </c>
      <c r="C591" s="285" t="s">
        <v>3638</v>
      </c>
      <c r="D591" s="8"/>
      <c r="E591" s="8"/>
      <c r="F591" s="111"/>
      <c r="G591" s="111"/>
      <c r="H591" s="112"/>
    </row>
    <row r="592" spans="1:8" s="1" customFormat="1" ht="31.5">
      <c r="B592" s="83" t="s">
        <v>424</v>
      </c>
      <c r="C592" s="82" t="s">
        <v>1584</v>
      </c>
      <c r="D592" s="44">
        <v>1</v>
      </c>
      <c r="E592" s="55" t="s">
        <v>3170</v>
      </c>
      <c r="F592" s="120" t="e">
        <f>'update Rate'!#REF!</f>
        <v>#REF!</v>
      </c>
      <c r="G592" s="113" t="e">
        <f>FLOOR(D592*F592,0.01)</f>
        <v>#REF!</v>
      </c>
      <c r="H592" s="9"/>
    </row>
    <row r="593" spans="1:9" s="1" customFormat="1" ht="17.25">
      <c r="B593" s="80"/>
      <c r="C593" s="80"/>
      <c r="D593" s="53"/>
      <c r="E593" s="58"/>
      <c r="F593" s="126"/>
      <c r="G593" s="126"/>
      <c r="H593" s="127" t="e">
        <f>SUM(G592)</f>
        <v>#REF!</v>
      </c>
    </row>
    <row r="594" spans="1:9" s="1" customFormat="1" ht="18" customHeight="1">
      <c r="F594" s="42" t="s">
        <v>1708</v>
      </c>
      <c r="G594" s="106"/>
      <c r="H594" s="65" t="e">
        <f>SUM(H590:H593)</f>
        <v>#REF!</v>
      </c>
    </row>
    <row r="595" spans="1:9" s="1" customFormat="1" ht="18" customHeight="1">
      <c r="B595" s="1" t="s">
        <v>426</v>
      </c>
      <c r="F595" s="42" t="s">
        <v>1688</v>
      </c>
      <c r="G595" s="106"/>
      <c r="H595" s="65" t="e">
        <f>FLOOR(H594*0.15,0.01)</f>
        <v>#REF!</v>
      </c>
    </row>
    <row r="596" spans="1:9" s="1" customFormat="1" ht="18" customHeight="1">
      <c r="A596" s="28" t="s">
        <v>3384</v>
      </c>
      <c r="B596" s="103" t="e">
        <f>+H596</f>
        <v>#REF!</v>
      </c>
      <c r="C596" s="1" t="s">
        <v>3385</v>
      </c>
      <c r="F596" s="42" t="s">
        <v>1711</v>
      </c>
      <c r="G596" s="106"/>
      <c r="H596" s="103" t="e">
        <f>SUM(H594:H595)</f>
        <v>#REF!</v>
      </c>
    </row>
    <row r="597" spans="1:9" s="1" customFormat="1" ht="18" customHeight="1">
      <c r="A597" s="28"/>
      <c r="B597" s="151"/>
      <c r="F597" s="42"/>
      <c r="G597" s="106"/>
      <c r="H597" s="151"/>
    </row>
    <row r="598" spans="1:9" s="1" customFormat="1" ht="18" customHeight="1">
      <c r="A598" s="28"/>
      <c r="B598" s="151"/>
      <c r="F598" s="42"/>
      <c r="G598" s="106"/>
      <c r="H598" s="151"/>
    </row>
    <row r="599" spans="1:9" s="1" customFormat="1" ht="18" customHeight="1">
      <c r="A599" s="463">
        <f>A586+1</f>
        <v>120</v>
      </c>
      <c r="B599" s="1080"/>
      <c r="C599" s="1081"/>
      <c r="D599" s="1081"/>
      <c r="E599" s="1081"/>
      <c r="F599" s="1081"/>
      <c r="G599" s="1081"/>
      <c r="H599" s="1081"/>
    </row>
    <row r="600" spans="1:9" s="1" customFormat="1" ht="28.5" customHeight="1">
      <c r="A600" s="15"/>
      <c r="B600" s="1078" t="s">
        <v>1928</v>
      </c>
      <c r="C600" s="1079"/>
      <c r="D600" s="1079"/>
      <c r="E600" s="1079"/>
      <c r="F600" s="1079"/>
      <c r="G600" s="1079"/>
      <c r="H600" s="1079"/>
    </row>
    <row r="601" spans="1:9" s="1" customFormat="1" ht="18" customHeight="1">
      <c r="A601" s="695"/>
      <c r="B601" s="1081"/>
      <c r="C601" s="1081"/>
      <c r="D601" s="1081"/>
      <c r="E601" s="1081"/>
      <c r="F601" s="1081"/>
      <c r="G601" s="1081"/>
      <c r="H601" s="1081"/>
    </row>
    <row r="602" spans="1:9" s="1" customFormat="1" ht="15">
      <c r="B602" s="1083" t="s">
        <v>1604</v>
      </c>
      <c r="C602" s="1083"/>
      <c r="D602" s="1083"/>
      <c r="E602" s="1083"/>
      <c r="F602" s="1083"/>
      <c r="G602" s="1083"/>
      <c r="H602" s="1083"/>
    </row>
    <row r="603" spans="1:9" s="1" customFormat="1" ht="63">
      <c r="B603" s="70" t="s">
        <v>3340</v>
      </c>
      <c r="C603" s="70" t="s">
        <v>3341</v>
      </c>
      <c r="D603" s="70" t="s">
        <v>3342</v>
      </c>
      <c r="E603" s="70" t="s">
        <v>3343</v>
      </c>
      <c r="F603" s="70" t="s">
        <v>3344</v>
      </c>
      <c r="G603" s="70" t="s">
        <v>3345</v>
      </c>
      <c r="H603" s="70" t="s">
        <v>1704</v>
      </c>
    </row>
    <row r="604" spans="1:9" s="1" customFormat="1" ht="18" customHeight="1">
      <c r="B604" s="60" t="s">
        <v>2330</v>
      </c>
      <c r="C604" s="285" t="s">
        <v>3638</v>
      </c>
      <c r="D604" s="8"/>
      <c r="E604" s="8"/>
      <c r="F604" s="111"/>
      <c r="G604" s="111"/>
      <c r="H604" s="112"/>
    </row>
    <row r="605" spans="1:9" s="1" customFormat="1" ht="31.5">
      <c r="B605" s="83" t="s">
        <v>424</v>
      </c>
      <c r="C605" s="82" t="s">
        <v>1584</v>
      </c>
      <c r="D605" s="44">
        <v>1</v>
      </c>
      <c r="E605" s="55" t="s">
        <v>3170</v>
      </c>
      <c r="F605" s="120" t="e">
        <f>'update Rate'!#REF!</f>
        <v>#REF!</v>
      </c>
      <c r="G605" s="113" t="e">
        <f>FLOOR(D605*F605,0.01)</f>
        <v>#REF!</v>
      </c>
      <c r="H605" s="9"/>
    </row>
    <row r="606" spans="1:9" s="1" customFormat="1" ht="17.25">
      <c r="B606" s="80"/>
      <c r="C606" s="80"/>
      <c r="D606" s="53"/>
      <c r="E606" s="58"/>
      <c r="F606" s="126"/>
      <c r="G606" s="126"/>
      <c r="H606" s="127" t="e">
        <f>SUM(G605)</f>
        <v>#REF!</v>
      </c>
    </row>
    <row r="607" spans="1:9" s="1" customFormat="1" ht="18" customHeight="1">
      <c r="F607" s="42" t="s">
        <v>1708</v>
      </c>
      <c r="G607" s="106"/>
      <c r="H607" s="65" t="e">
        <f>SUM(H603:H606)</f>
        <v>#REF!</v>
      </c>
      <c r="I607" s="272">
        <f>FLOOR(3.228*16.97,0.01)</f>
        <v>54.77</v>
      </c>
    </row>
    <row r="608" spans="1:9" s="1" customFormat="1" ht="16.5">
      <c r="B608" s="1" t="s">
        <v>426</v>
      </c>
      <c r="F608" s="42" t="s">
        <v>1688</v>
      </c>
      <c r="G608" s="106"/>
      <c r="H608" s="65" t="e">
        <f>FLOOR(H607*0.15,0.01)</f>
        <v>#REF!</v>
      </c>
    </row>
    <row r="609" spans="1:9" s="1" customFormat="1" ht="18" customHeight="1">
      <c r="A609" s="28" t="s">
        <v>3384</v>
      </c>
      <c r="B609" s="103" t="e">
        <f>+H609</f>
        <v>#REF!</v>
      </c>
      <c r="C609" s="1" t="s">
        <v>3385</v>
      </c>
      <c r="F609" s="42" t="s">
        <v>1711</v>
      </c>
      <c r="G609" s="106"/>
      <c r="H609" s="103" t="e">
        <f>SUM(H607:H608)</f>
        <v>#REF!</v>
      </c>
    </row>
    <row r="610" spans="1:9" s="1" customFormat="1" ht="18" customHeight="1">
      <c r="A610" s="257"/>
      <c r="B610" s="151"/>
      <c r="F610" s="42"/>
      <c r="G610" s="106"/>
      <c r="H610" s="151"/>
    </row>
    <row r="611" spans="1:9" s="1" customFormat="1" ht="14.25" customHeight="1">
      <c r="A611" s="463">
        <f>A599+1</f>
        <v>121</v>
      </c>
      <c r="B611" s="1080"/>
      <c r="C611" s="1081"/>
      <c r="D611" s="1081"/>
      <c r="E611" s="1081"/>
      <c r="F611" s="1081"/>
      <c r="G611" s="1081"/>
      <c r="H611" s="1081"/>
    </row>
    <row r="612" spans="1:9" s="1" customFormat="1" ht="41.25" customHeight="1">
      <c r="A612" s="780"/>
      <c r="B612" s="1078" t="s">
        <v>561</v>
      </c>
      <c r="C612" s="1079"/>
      <c r="D612" s="1079"/>
      <c r="E612" s="1079"/>
      <c r="F612" s="1079"/>
      <c r="G612" s="1079"/>
      <c r="H612" s="1079"/>
    </row>
    <row r="613" spans="1:9" s="1" customFormat="1" ht="18" customHeight="1">
      <c r="A613" s="695"/>
      <c r="B613" s="1081"/>
      <c r="C613" s="1081"/>
      <c r="D613" s="1081"/>
      <c r="E613" s="1081"/>
      <c r="F613" s="1081"/>
      <c r="G613" s="1081"/>
      <c r="H613" s="1081"/>
    </row>
    <row r="614" spans="1:9" s="1" customFormat="1" ht="15">
      <c r="B614" s="1083" t="s">
        <v>1604</v>
      </c>
      <c r="C614" s="1083"/>
      <c r="D614" s="1083"/>
      <c r="E614" s="1083"/>
      <c r="F614" s="1083"/>
      <c r="G614" s="1083"/>
      <c r="H614" s="1083"/>
    </row>
    <row r="615" spans="1:9" s="1" customFormat="1" ht="63">
      <c r="B615" s="70" t="s">
        <v>3340</v>
      </c>
      <c r="C615" s="70" t="s">
        <v>3341</v>
      </c>
      <c r="D615" s="70" t="s">
        <v>3342</v>
      </c>
      <c r="E615" s="70" t="s">
        <v>3343</v>
      </c>
      <c r="F615" s="70" t="s">
        <v>3344</v>
      </c>
      <c r="G615" s="70" t="s">
        <v>3345</v>
      </c>
      <c r="H615" s="70" t="s">
        <v>1704</v>
      </c>
    </row>
    <row r="616" spans="1:9" s="1" customFormat="1" ht="31.5">
      <c r="B616" s="60" t="s">
        <v>2330</v>
      </c>
      <c r="C616" s="285" t="s">
        <v>3638</v>
      </c>
      <c r="D616" s="8"/>
      <c r="E616" s="8"/>
      <c r="F616" s="111"/>
      <c r="G616" s="111"/>
      <c r="H616" s="112"/>
    </row>
    <row r="617" spans="1:9" s="1" customFormat="1" ht="31.5">
      <c r="B617" s="83" t="s">
        <v>424</v>
      </c>
      <c r="C617" s="82" t="s">
        <v>1584</v>
      </c>
      <c r="D617" s="44">
        <v>1</v>
      </c>
      <c r="E617" s="55" t="s">
        <v>3170</v>
      </c>
      <c r="F617" s="120" t="e">
        <f>'update Rate'!#REF!</f>
        <v>#REF!</v>
      </c>
      <c r="G617" s="113" t="e">
        <f>FLOOR(D617*F617,0.01)</f>
        <v>#REF!</v>
      </c>
      <c r="H617" s="9"/>
    </row>
    <row r="618" spans="1:9" s="1" customFormat="1" ht="18" customHeight="1">
      <c r="B618" s="80"/>
      <c r="C618" s="80"/>
      <c r="D618" s="53"/>
      <c r="E618" s="58"/>
      <c r="F618" s="126"/>
      <c r="G618" s="126"/>
      <c r="H618" s="127" t="e">
        <f>SUM(G617)</f>
        <v>#REF!</v>
      </c>
    </row>
    <row r="619" spans="1:9" s="1" customFormat="1" ht="16.5">
      <c r="F619" s="42" t="s">
        <v>1708</v>
      </c>
      <c r="G619" s="106"/>
      <c r="H619" s="65" t="e">
        <f>SUM(H615:H618)</f>
        <v>#REF!</v>
      </c>
    </row>
    <row r="620" spans="1:9" s="1" customFormat="1" ht="16.5">
      <c r="B620" s="1" t="s">
        <v>426</v>
      </c>
      <c r="F620" s="42" t="s">
        <v>1688</v>
      </c>
      <c r="G620" s="106"/>
      <c r="H620" s="65" t="e">
        <f>FLOOR(H619*0.15,0.01)</f>
        <v>#REF!</v>
      </c>
    </row>
    <row r="621" spans="1:9" s="1" customFormat="1" ht="18" customHeight="1">
      <c r="A621" s="28" t="s">
        <v>3384</v>
      </c>
      <c r="B621" s="103" t="e">
        <f>+H621</f>
        <v>#REF!</v>
      </c>
      <c r="C621" s="1" t="s">
        <v>3385</v>
      </c>
      <c r="F621" s="42" t="s">
        <v>1711</v>
      </c>
      <c r="G621" s="106"/>
      <c r="H621" s="103" t="e">
        <f>SUM(H619:H620)</f>
        <v>#REF!</v>
      </c>
      <c r="I621" s="272">
        <f>FLOOR(3.228*16.97,0.01)</f>
        <v>54.77</v>
      </c>
    </row>
    <row r="622" spans="1:9" s="1" customFormat="1" ht="16.5">
      <c r="A622" s="28"/>
      <c r="B622" s="128"/>
      <c r="F622" s="42"/>
      <c r="G622" s="106"/>
      <c r="H622" s="151"/>
    </row>
    <row r="623" spans="1:9" s="1" customFormat="1" ht="18" customHeight="1">
      <c r="A623" s="463">
        <f>A611+1</f>
        <v>122</v>
      </c>
      <c r="B623" s="1080"/>
      <c r="C623" s="1081"/>
      <c r="D623" s="1081"/>
      <c r="E623" s="1081"/>
      <c r="F623" s="1081"/>
      <c r="G623" s="1081"/>
      <c r="H623" s="1081"/>
    </row>
    <row r="624" spans="1:9" s="1" customFormat="1" ht="45" customHeight="1">
      <c r="A624" s="15"/>
      <c r="B624" s="1078" t="s">
        <v>1495</v>
      </c>
      <c r="C624" s="1079"/>
      <c r="D624" s="1079"/>
      <c r="E624" s="1079"/>
      <c r="F624" s="1079"/>
      <c r="G624" s="1079"/>
      <c r="H624" s="1079"/>
    </row>
    <row r="625" spans="1:8" s="1" customFormat="1" ht="18" customHeight="1">
      <c r="A625" s="695"/>
      <c r="B625" s="1081"/>
      <c r="C625" s="1081"/>
      <c r="D625" s="1081"/>
      <c r="E625" s="1081"/>
      <c r="F625" s="1081"/>
      <c r="G625" s="1081"/>
      <c r="H625" s="1081"/>
    </row>
    <row r="626" spans="1:8" s="1" customFormat="1" ht="18" customHeight="1">
      <c r="B626" s="1083" t="s">
        <v>1604</v>
      </c>
      <c r="C626" s="1083"/>
      <c r="D626" s="1083"/>
      <c r="E626" s="1083"/>
      <c r="F626" s="1083"/>
      <c r="G626" s="1083"/>
      <c r="H626" s="1083"/>
    </row>
    <row r="627" spans="1:8" s="1" customFormat="1" ht="63">
      <c r="B627" s="70" t="s">
        <v>3340</v>
      </c>
      <c r="C627" s="70" t="s">
        <v>3341</v>
      </c>
      <c r="D627" s="70" t="s">
        <v>3342</v>
      </c>
      <c r="E627" s="70" t="s">
        <v>3343</v>
      </c>
      <c r="F627" s="70" t="s">
        <v>3344</v>
      </c>
      <c r="G627" s="70" t="s">
        <v>3345</v>
      </c>
      <c r="H627" s="70" t="s">
        <v>1704</v>
      </c>
    </row>
    <row r="628" spans="1:8" s="1" customFormat="1" ht="31.5">
      <c r="B628" s="60" t="s">
        <v>2330</v>
      </c>
      <c r="C628" s="285" t="s">
        <v>3638</v>
      </c>
      <c r="D628" s="8"/>
      <c r="E628" s="8"/>
      <c r="F628" s="111"/>
      <c r="G628" s="111"/>
      <c r="H628" s="112"/>
    </row>
    <row r="629" spans="1:8" s="1" customFormat="1" ht="31.5">
      <c r="B629" s="83" t="s">
        <v>424</v>
      </c>
      <c r="C629" s="82" t="s">
        <v>1584</v>
      </c>
      <c r="D629" s="44">
        <v>1</v>
      </c>
      <c r="E629" s="55" t="s">
        <v>3170</v>
      </c>
      <c r="F629" s="120" t="e">
        <f>'update Rate'!#REF!</f>
        <v>#REF!</v>
      </c>
      <c r="G629" s="113" t="e">
        <f>FLOOR(D629*F629,0.01)</f>
        <v>#REF!</v>
      </c>
      <c r="H629" s="9"/>
    </row>
    <row r="630" spans="1:8" s="1" customFormat="1" ht="18" customHeight="1">
      <c r="B630" s="80"/>
      <c r="C630" s="80"/>
      <c r="D630" s="53"/>
      <c r="E630" s="58"/>
      <c r="F630" s="126"/>
      <c r="G630" s="126"/>
      <c r="H630" s="127" t="e">
        <f>SUM(G629)</f>
        <v>#REF!</v>
      </c>
    </row>
    <row r="631" spans="1:8" s="1" customFormat="1" ht="16.5">
      <c r="F631" s="42" t="s">
        <v>1708</v>
      </c>
      <c r="G631" s="106"/>
      <c r="H631" s="65" t="e">
        <f>SUM(H627:H630)</f>
        <v>#REF!</v>
      </c>
    </row>
    <row r="632" spans="1:8" s="1" customFormat="1" ht="16.5">
      <c r="B632" s="1" t="s">
        <v>426</v>
      </c>
      <c r="F632" s="42" t="s">
        <v>1688</v>
      </c>
      <c r="G632" s="106"/>
      <c r="H632" s="65" t="e">
        <f>FLOOR(H631*0.15,0.01)</f>
        <v>#REF!</v>
      </c>
    </row>
    <row r="633" spans="1:8" s="1" customFormat="1" ht="18" customHeight="1">
      <c r="A633" s="28" t="s">
        <v>3384</v>
      </c>
      <c r="B633" s="103" t="e">
        <f>+H633</f>
        <v>#REF!</v>
      </c>
      <c r="C633" s="1" t="s">
        <v>3385</v>
      </c>
      <c r="F633" s="42" t="s">
        <v>1711</v>
      </c>
      <c r="G633" s="106"/>
      <c r="H633" s="103" t="e">
        <f>SUM(H631:H632)</f>
        <v>#REF!</v>
      </c>
    </row>
    <row r="634" spans="1:8" s="1" customFormat="1" ht="18" customHeight="1">
      <c r="A634" s="28"/>
      <c r="B634" s="128"/>
      <c r="F634" s="42"/>
      <c r="G634" s="106"/>
      <c r="H634" s="151"/>
    </row>
    <row r="635" spans="1:8" s="1" customFormat="1" ht="18" customHeight="1">
      <c r="A635" s="28"/>
      <c r="B635" s="151"/>
      <c r="F635" s="42"/>
      <c r="G635" s="106"/>
      <c r="H635" s="151"/>
    </row>
    <row r="636" spans="1:8" s="1" customFormat="1" ht="25.5" customHeight="1">
      <c r="A636" s="463">
        <f>A623+1</f>
        <v>123</v>
      </c>
      <c r="B636" s="1080"/>
      <c r="C636" s="1081"/>
      <c r="D636" s="1081"/>
      <c r="E636" s="1081"/>
      <c r="F636" s="1081"/>
      <c r="G636" s="1081"/>
      <c r="H636" s="1081"/>
    </row>
    <row r="637" spans="1:8" s="1" customFormat="1" ht="33.75" customHeight="1">
      <c r="A637" s="15"/>
      <c r="B637" s="1078" t="s">
        <v>2488</v>
      </c>
      <c r="C637" s="1079"/>
      <c r="D637" s="1079"/>
      <c r="E637" s="1079"/>
      <c r="F637" s="1079"/>
      <c r="G637" s="1079"/>
      <c r="H637" s="1079"/>
    </row>
    <row r="638" spans="1:8" s="1" customFormat="1" ht="18" customHeight="1">
      <c r="A638" s="695"/>
      <c r="B638" s="1081"/>
      <c r="C638" s="1081"/>
      <c r="D638" s="1081"/>
      <c r="E638" s="1081"/>
      <c r="F638" s="1081"/>
      <c r="G638" s="1081"/>
      <c r="H638" s="1081"/>
    </row>
    <row r="639" spans="1:8" s="1" customFormat="1" ht="18" customHeight="1">
      <c r="B639" s="1083" t="s">
        <v>1604</v>
      </c>
      <c r="C639" s="1083"/>
      <c r="D639" s="1083"/>
      <c r="E639" s="1083"/>
      <c r="F639" s="1083"/>
      <c r="G639" s="1083"/>
      <c r="H639" s="1083"/>
    </row>
    <row r="640" spans="1:8" s="1" customFormat="1" ht="63">
      <c r="B640" s="70" t="s">
        <v>3340</v>
      </c>
      <c r="C640" s="70" t="s">
        <v>3341</v>
      </c>
      <c r="D640" s="70" t="s">
        <v>3342</v>
      </c>
      <c r="E640" s="70" t="s">
        <v>3343</v>
      </c>
      <c r="F640" s="70" t="s">
        <v>3344</v>
      </c>
      <c r="G640" s="70" t="s">
        <v>3345</v>
      </c>
      <c r="H640" s="70" t="s">
        <v>1704</v>
      </c>
    </row>
    <row r="641" spans="1:8" s="1" customFormat="1" ht="31.5">
      <c r="B641" s="60" t="s">
        <v>2330</v>
      </c>
      <c r="C641" s="285" t="s">
        <v>3638</v>
      </c>
      <c r="D641" s="8"/>
      <c r="E641" s="8"/>
      <c r="F641" s="111"/>
      <c r="G641" s="111"/>
      <c r="H641" s="112"/>
    </row>
    <row r="642" spans="1:8" s="1" customFormat="1" ht="31.5">
      <c r="B642" s="83" t="s">
        <v>424</v>
      </c>
      <c r="C642" s="82" t="s">
        <v>1584</v>
      </c>
      <c r="D642" s="44">
        <v>1</v>
      </c>
      <c r="E642" s="55" t="s">
        <v>3170</v>
      </c>
      <c r="F642" s="120" t="e">
        <f>'update Rate'!#REF!</f>
        <v>#REF!</v>
      </c>
      <c r="G642" s="113" t="e">
        <f>FLOOR(D642*F642,0.01)</f>
        <v>#REF!</v>
      </c>
      <c r="H642" s="9"/>
    </row>
    <row r="643" spans="1:8" s="1" customFormat="1" ht="30" customHeight="1">
      <c r="B643" s="80"/>
      <c r="C643" s="80"/>
      <c r="D643" s="53"/>
      <c r="E643" s="58"/>
      <c r="F643" s="126"/>
      <c r="G643" s="126"/>
      <c r="H643" s="127" t="e">
        <f>SUM(G642)</f>
        <v>#REF!</v>
      </c>
    </row>
    <row r="644" spans="1:8" s="1" customFormat="1" ht="21.75" customHeight="1">
      <c r="F644" s="42" t="s">
        <v>1708</v>
      </c>
      <c r="G644" s="106"/>
      <c r="H644" s="65" t="e">
        <f>SUM(H640:H643)</f>
        <v>#REF!</v>
      </c>
    </row>
    <row r="645" spans="1:8" s="1" customFormat="1" ht="16.5">
      <c r="B645" s="1" t="s">
        <v>426</v>
      </c>
      <c r="F645" s="42" t="s">
        <v>1688</v>
      </c>
      <c r="G645" s="106"/>
      <c r="H645" s="65" t="e">
        <f>FLOOR(H644*0.15,0.01)</f>
        <v>#REF!</v>
      </c>
    </row>
    <row r="646" spans="1:8" s="1" customFormat="1" ht="18" customHeight="1">
      <c r="A646" s="28" t="s">
        <v>3384</v>
      </c>
      <c r="B646" s="103" t="e">
        <f>+H646</f>
        <v>#REF!</v>
      </c>
      <c r="C646" s="1" t="s">
        <v>3385</v>
      </c>
      <c r="F646" s="42" t="s">
        <v>1711</v>
      </c>
      <c r="G646" s="106"/>
      <c r="H646" s="103" t="e">
        <f>SUM(H644:H645)</f>
        <v>#REF!</v>
      </c>
    </row>
    <row r="647" spans="1:8" s="1" customFormat="1" ht="18" customHeight="1">
      <c r="B647" s="149"/>
      <c r="H647" s="19"/>
    </row>
    <row r="648" spans="1:8" s="1" customFormat="1" ht="16.5">
      <c r="A648" s="652"/>
      <c r="B648" s="598"/>
      <c r="C648" s="566"/>
      <c r="D648" s="566"/>
      <c r="E648" s="566"/>
      <c r="F648" s="592"/>
      <c r="G648" s="593"/>
      <c r="H648" s="598"/>
    </row>
    <row r="649" spans="1:8" s="1" customFormat="1" ht="16.5">
      <c r="A649" s="652"/>
      <c r="B649" s="598"/>
      <c r="C649" s="566"/>
      <c r="D649" s="566"/>
      <c r="E649" s="566"/>
      <c r="F649" s="592"/>
      <c r="G649" s="593"/>
      <c r="H649" s="598"/>
    </row>
    <row r="650" spans="1:8" s="1" customFormat="1" ht="16.5">
      <c r="A650" s="652"/>
      <c r="B650" s="598"/>
      <c r="C650" s="566"/>
      <c r="D650" s="566"/>
      <c r="E650" s="566"/>
      <c r="F650" s="592"/>
      <c r="G650" s="593"/>
      <c r="H650" s="598"/>
    </row>
    <row r="651" spans="1:8" s="1" customFormat="1" ht="16.5">
      <c r="A651" s="652"/>
      <c r="B651" s="598"/>
      <c r="C651" s="566"/>
      <c r="D651" s="566"/>
      <c r="E651" s="566"/>
      <c r="F651" s="592"/>
      <c r="G651" s="593"/>
      <c r="H651" s="598"/>
    </row>
    <row r="652" spans="1:8" s="1" customFormat="1" ht="16.5">
      <c r="A652" s="652"/>
      <c r="B652" s="598"/>
      <c r="C652" s="566"/>
      <c r="D652" s="566"/>
      <c r="E652" s="566"/>
      <c r="F652" s="592"/>
      <c r="G652" s="593"/>
      <c r="H652" s="598"/>
    </row>
    <row r="653" spans="1:8" s="1" customFormat="1" ht="16.5">
      <c r="A653" s="652"/>
      <c r="B653" s="598"/>
      <c r="C653" s="566"/>
      <c r="D653" s="566"/>
      <c r="E653" s="566"/>
      <c r="F653" s="592"/>
      <c r="G653" s="593"/>
      <c r="H653" s="598"/>
    </row>
    <row r="654" spans="1:8" s="1" customFormat="1" ht="16.5">
      <c r="A654" s="652"/>
      <c r="B654" s="598"/>
      <c r="C654" s="566"/>
      <c r="D654" s="566"/>
      <c r="E654" s="566"/>
      <c r="F654" s="592"/>
      <c r="G654" s="593"/>
      <c r="H654" s="598"/>
    </row>
    <row r="655" spans="1:8" s="1" customFormat="1" ht="16.5">
      <c r="A655" s="652"/>
      <c r="B655" s="598"/>
      <c r="C655" s="566"/>
      <c r="D655" s="566"/>
      <c r="E655" s="566"/>
      <c r="F655" s="592"/>
      <c r="G655" s="593"/>
      <c r="H655" s="598"/>
    </row>
    <row r="656" spans="1:8" s="1" customFormat="1" ht="16.5">
      <c r="A656" s="652"/>
      <c r="B656" s="598"/>
      <c r="C656" s="566"/>
      <c r="D656" s="566"/>
      <c r="E656" s="566"/>
      <c r="F656" s="592"/>
      <c r="G656" s="593"/>
      <c r="H656" s="598"/>
    </row>
    <row r="657" spans="1:8" s="1" customFormat="1" ht="16.5">
      <c r="A657" s="652"/>
      <c r="B657" s="598"/>
      <c r="C657" s="566"/>
      <c r="D657" s="566"/>
      <c r="E657" s="566"/>
      <c r="F657" s="592"/>
      <c r="G657" s="593"/>
      <c r="H657" s="598"/>
    </row>
    <row r="658" spans="1:8" s="1" customFormat="1" ht="16.5">
      <c r="A658" s="652"/>
      <c r="B658" s="598"/>
      <c r="C658" s="566"/>
      <c r="D658" s="566"/>
      <c r="E658" s="566"/>
      <c r="F658" s="592"/>
      <c r="G658" s="593"/>
      <c r="H658" s="598"/>
    </row>
    <row r="659" spans="1:8" s="1" customFormat="1" ht="15">
      <c r="A659" s="566"/>
      <c r="B659" s="566"/>
      <c r="C659" s="566"/>
      <c r="D659" s="566"/>
      <c r="E659" s="566"/>
      <c r="F659" s="566"/>
      <c r="G659" s="566"/>
      <c r="H659" s="566"/>
    </row>
    <row r="660" spans="1:8" s="1" customFormat="1" ht="15">
      <c r="A660" s="566"/>
      <c r="B660" s="566"/>
      <c r="C660" s="566"/>
      <c r="D660" s="566"/>
      <c r="E660" s="566"/>
      <c r="F660" s="566"/>
      <c r="G660" s="566"/>
      <c r="H660" s="566"/>
    </row>
    <row r="661" spans="1:8" s="1" customFormat="1" ht="15">
      <c r="A661" s="566"/>
      <c r="B661" s="566"/>
      <c r="C661" s="566"/>
      <c r="D661" s="566"/>
      <c r="E661" s="566"/>
      <c r="F661" s="566"/>
      <c r="G661" s="566"/>
      <c r="H661" s="566"/>
    </row>
    <row r="662" spans="1:8" s="1" customFormat="1" ht="15">
      <c r="A662" s="566"/>
      <c r="B662" s="566"/>
      <c r="C662" s="566"/>
      <c r="D662" s="566"/>
      <c r="E662" s="566"/>
      <c r="F662" s="566"/>
      <c r="G662" s="566"/>
      <c r="H662" s="566"/>
    </row>
    <row r="663" spans="1:8" s="1" customFormat="1" ht="15">
      <c r="A663" s="568">
        <f>A558+1</f>
        <v>324</v>
      </c>
      <c r="B663" s="1084"/>
      <c r="C663" s="1085"/>
      <c r="D663" s="1085"/>
      <c r="E663" s="1085"/>
      <c r="F663" s="1085"/>
      <c r="G663" s="1085"/>
      <c r="H663" s="1085"/>
    </row>
    <row r="664" spans="1:8" s="1" customFormat="1" ht="15">
      <c r="A664" s="570"/>
      <c r="B664" s="1086" t="s">
        <v>2561</v>
      </c>
      <c r="C664" s="1087"/>
      <c r="D664" s="1087"/>
      <c r="E664" s="1087"/>
      <c r="F664" s="1087"/>
      <c r="G664" s="1087"/>
      <c r="H664" s="1087"/>
    </row>
    <row r="665" spans="1:8" s="1" customFormat="1" ht="15">
      <c r="A665" s="571"/>
      <c r="B665" s="1084"/>
      <c r="C665" s="1085"/>
      <c r="D665" s="1085"/>
      <c r="E665" s="1085"/>
      <c r="F665" s="1085"/>
      <c r="G665" s="1085"/>
      <c r="H665" s="1085"/>
    </row>
    <row r="666" spans="1:8" s="1" customFormat="1" ht="15">
      <c r="A666" s="572"/>
      <c r="B666" s="569"/>
      <c r="C666" s="569"/>
      <c r="D666" s="569"/>
      <c r="E666" s="569"/>
      <c r="F666" s="569"/>
      <c r="G666" s="569"/>
      <c r="H666" s="569"/>
    </row>
    <row r="667" spans="1:8" s="1" customFormat="1" ht="15">
      <c r="A667" s="566"/>
      <c r="B667" s="573" t="s">
        <v>1604</v>
      </c>
      <c r="C667" s="573"/>
      <c r="D667" s="573"/>
      <c r="E667" s="573"/>
      <c r="F667" s="573"/>
      <c r="G667" s="573"/>
      <c r="H667" s="573"/>
    </row>
    <row r="668" spans="1:8" s="1" customFormat="1" ht="63">
      <c r="A668" s="566"/>
      <c r="B668" s="574" t="s">
        <v>3340</v>
      </c>
      <c r="C668" s="574" t="s">
        <v>3341</v>
      </c>
      <c r="D668" s="574" t="s">
        <v>3342</v>
      </c>
      <c r="E668" s="574" t="s">
        <v>3343</v>
      </c>
      <c r="F668" s="574" t="s">
        <v>3344</v>
      </c>
      <c r="G668" s="574" t="s">
        <v>3345</v>
      </c>
      <c r="H668" s="574" t="s">
        <v>1704</v>
      </c>
    </row>
    <row r="669" spans="1:8" s="1" customFormat="1" ht="47.25">
      <c r="A669" s="566"/>
      <c r="B669" s="575" t="s">
        <v>2330</v>
      </c>
      <c r="C669" s="576" t="s">
        <v>2786</v>
      </c>
      <c r="D669" s="577"/>
      <c r="E669" s="577"/>
      <c r="F669" s="578"/>
      <c r="G669" s="578"/>
      <c r="H669" s="579"/>
    </row>
    <row r="670" spans="1:8" s="1" customFormat="1" ht="31.5">
      <c r="A670" s="566"/>
      <c r="B670" s="580" t="s">
        <v>424</v>
      </c>
      <c r="C670" s="581" t="s">
        <v>1584</v>
      </c>
      <c r="D670" s="582">
        <v>1</v>
      </c>
      <c r="E670" s="583" t="s">
        <v>3170</v>
      </c>
      <c r="F670" s="584">
        <f>'update Rate'!F480</f>
        <v>4067.2799999999997</v>
      </c>
      <c r="G670" s="585">
        <f>FLOOR(D670*F670,0.01)</f>
        <v>4067.28</v>
      </c>
      <c r="H670" s="586"/>
    </row>
    <row r="671" spans="1:8" s="1" customFormat="1" ht="17.25">
      <c r="A671" s="566"/>
      <c r="B671" s="587"/>
      <c r="C671" s="587"/>
      <c r="D671" s="588"/>
      <c r="E671" s="589"/>
      <c r="F671" s="590"/>
      <c r="G671" s="590"/>
      <c r="H671" s="591">
        <f>SUM(G670)</f>
        <v>4067.28</v>
      </c>
    </row>
    <row r="672" spans="1:8" s="1" customFormat="1" ht="16.5">
      <c r="A672" s="566"/>
      <c r="B672" s="566"/>
      <c r="C672" s="566"/>
      <c r="D672" s="566"/>
      <c r="E672" s="566"/>
      <c r="F672" s="592" t="s">
        <v>1708</v>
      </c>
      <c r="G672" s="593"/>
      <c r="H672" s="594">
        <f>SUM(H668:H671)</f>
        <v>4067.28</v>
      </c>
    </row>
    <row r="673" spans="1:8" s="1" customFormat="1" ht="16.5">
      <c r="A673" s="566"/>
      <c r="B673" s="566" t="s">
        <v>426</v>
      </c>
      <c r="C673" s="566"/>
      <c r="D673" s="566"/>
      <c r="E673" s="566"/>
      <c r="F673" s="592" t="s">
        <v>1688</v>
      </c>
      <c r="G673" s="593"/>
      <c r="H673" s="594">
        <f>FLOOR(H672*0.15,0.01)</f>
        <v>610.09</v>
      </c>
    </row>
    <row r="674" spans="1:8" s="1" customFormat="1" ht="16.5">
      <c r="A674" s="595" t="s">
        <v>3384</v>
      </c>
      <c r="B674" s="596">
        <f>+H674</f>
        <v>4677.37</v>
      </c>
      <c r="C674" s="566" t="s">
        <v>3385</v>
      </c>
      <c r="D674" s="566"/>
      <c r="E674" s="566"/>
      <c r="F674" s="592" t="s">
        <v>1711</v>
      </c>
      <c r="G674" s="593"/>
      <c r="H674" s="596">
        <f>SUM(H672:H673)</f>
        <v>4677.37</v>
      </c>
    </row>
    <row r="675" spans="1:8" s="1" customFormat="1" ht="16.5">
      <c r="A675" s="597"/>
      <c r="B675" s="598"/>
      <c r="C675" s="566"/>
      <c r="D675" s="566"/>
      <c r="E675" s="566"/>
      <c r="F675" s="592"/>
      <c r="G675" s="593"/>
      <c r="H675" s="598"/>
    </row>
    <row r="676" spans="1:8" s="1" customFormat="1" ht="15">
      <c r="A676" s="566"/>
      <c r="B676" s="566"/>
      <c r="C676" s="566"/>
      <c r="D676" s="566"/>
      <c r="E676" s="566"/>
      <c r="F676" s="566"/>
      <c r="G676" s="566"/>
      <c r="H676" s="566"/>
    </row>
    <row r="677" spans="1:8" s="1" customFormat="1" ht="15">
      <c r="A677" s="566"/>
      <c r="B677" s="566"/>
      <c r="C677" s="566"/>
      <c r="D677" s="566"/>
      <c r="E677" s="566"/>
      <c r="F677" s="566"/>
      <c r="G677" s="566"/>
      <c r="H677" s="566"/>
    </row>
    <row r="678" spans="1:8" s="1" customFormat="1" ht="15">
      <c r="A678" s="566"/>
      <c r="B678" s="566"/>
      <c r="C678" s="566"/>
      <c r="D678" s="566"/>
      <c r="E678" s="566"/>
      <c r="F678" s="566"/>
      <c r="G678" s="566"/>
      <c r="H678" s="566"/>
    </row>
    <row r="679" spans="1:8" s="1" customFormat="1" ht="15">
      <c r="A679" s="566"/>
      <c r="B679" s="566"/>
      <c r="C679" s="566"/>
      <c r="D679" s="566"/>
      <c r="E679" s="566"/>
      <c r="F679" s="566"/>
      <c r="G679" s="566"/>
      <c r="H679" s="566"/>
    </row>
    <row r="680" spans="1:8" s="1" customFormat="1" ht="15">
      <c r="A680" s="568">
        <f>A663+1</f>
        <v>325</v>
      </c>
      <c r="B680" s="1084"/>
      <c r="C680" s="1085"/>
      <c r="D680" s="1085"/>
      <c r="E680" s="1085"/>
      <c r="F680" s="1085"/>
      <c r="G680" s="1085"/>
      <c r="H680" s="1085"/>
    </row>
    <row r="681" spans="1:8" s="1" customFormat="1" ht="15">
      <c r="A681" s="570"/>
      <c r="B681" s="1086" t="s">
        <v>2562</v>
      </c>
      <c r="C681" s="1087"/>
      <c r="D681" s="1087"/>
      <c r="E681" s="1087"/>
      <c r="F681" s="1087"/>
      <c r="G681" s="1087"/>
      <c r="H681" s="1087"/>
    </row>
    <row r="682" spans="1:8" s="1" customFormat="1" ht="15">
      <c r="A682" s="571"/>
      <c r="B682" s="1084"/>
      <c r="C682" s="1085"/>
      <c r="D682" s="1085"/>
      <c r="E682" s="1085"/>
      <c r="F682" s="1085"/>
      <c r="G682" s="1085"/>
      <c r="H682" s="1085"/>
    </row>
    <row r="683" spans="1:8" s="1" customFormat="1" ht="15">
      <c r="A683" s="572"/>
      <c r="B683" s="569"/>
      <c r="C683" s="569"/>
      <c r="D683" s="569"/>
      <c r="E683" s="569"/>
      <c r="F683" s="569"/>
      <c r="G683" s="569"/>
      <c r="H683" s="569"/>
    </row>
    <row r="684" spans="1:8" s="1" customFormat="1" ht="15">
      <c r="A684" s="566"/>
      <c r="B684" s="573" t="s">
        <v>1604</v>
      </c>
      <c r="C684" s="573"/>
      <c r="D684" s="573"/>
      <c r="E684" s="573"/>
      <c r="F684" s="573"/>
      <c r="G684" s="573"/>
      <c r="H684" s="573"/>
    </row>
    <row r="685" spans="1:8" s="1" customFormat="1" ht="63">
      <c r="A685" s="566"/>
      <c r="B685" s="574" t="s">
        <v>3340</v>
      </c>
      <c r="C685" s="574" t="s">
        <v>3341</v>
      </c>
      <c r="D685" s="574" t="s">
        <v>3342</v>
      </c>
      <c r="E685" s="574" t="s">
        <v>3343</v>
      </c>
      <c r="F685" s="574" t="s">
        <v>3344</v>
      </c>
      <c r="G685" s="574" t="s">
        <v>3345</v>
      </c>
      <c r="H685" s="574" t="s">
        <v>1704</v>
      </c>
    </row>
    <row r="686" spans="1:8" s="1" customFormat="1" ht="47.25">
      <c r="A686" s="566"/>
      <c r="B686" s="575" t="s">
        <v>2330</v>
      </c>
      <c r="C686" s="576" t="s">
        <v>2787</v>
      </c>
      <c r="D686" s="577"/>
      <c r="E686" s="577"/>
      <c r="F686" s="578"/>
      <c r="G686" s="578"/>
      <c r="H686" s="579"/>
    </row>
    <row r="687" spans="1:8" s="1" customFormat="1" ht="31.5">
      <c r="A687" s="566"/>
      <c r="B687" s="580" t="s">
        <v>424</v>
      </c>
      <c r="C687" s="581" t="s">
        <v>1584</v>
      </c>
      <c r="D687" s="582">
        <v>1</v>
      </c>
      <c r="E687" s="583" t="s">
        <v>3170</v>
      </c>
      <c r="F687" s="584">
        <f>'update Rate'!F481</f>
        <v>4271.72</v>
      </c>
      <c r="G687" s="585">
        <f>FLOOR(D687*F687,0.01)</f>
        <v>4271.72</v>
      </c>
      <c r="H687" s="586"/>
    </row>
    <row r="688" spans="1:8" s="1" customFormat="1" ht="17.25">
      <c r="A688" s="566"/>
      <c r="B688" s="587"/>
      <c r="C688" s="587"/>
      <c r="D688" s="588"/>
      <c r="E688" s="589"/>
      <c r="F688" s="590"/>
      <c r="G688" s="590"/>
      <c r="H688" s="591">
        <f>SUM(G687)</f>
        <v>4271.72</v>
      </c>
    </row>
    <row r="689" spans="1:8" s="1" customFormat="1" ht="16.5">
      <c r="A689" s="566"/>
      <c r="B689" s="566"/>
      <c r="C689" s="566"/>
      <c r="D689" s="566"/>
      <c r="E689" s="566"/>
      <c r="F689" s="592" t="s">
        <v>1708</v>
      </c>
      <c r="G689" s="593"/>
      <c r="H689" s="594">
        <f>SUM(H685:H688)</f>
        <v>4271.72</v>
      </c>
    </row>
    <row r="690" spans="1:8" s="1" customFormat="1" ht="16.5">
      <c r="A690" s="566"/>
      <c r="B690" s="566" t="s">
        <v>426</v>
      </c>
      <c r="C690" s="566"/>
      <c r="D690" s="566"/>
      <c r="E690" s="566"/>
      <c r="F690" s="592" t="s">
        <v>1688</v>
      </c>
      <c r="G690" s="593"/>
      <c r="H690" s="594">
        <f>FLOOR(H689*0.15,0.01)</f>
        <v>640.75</v>
      </c>
    </row>
    <row r="691" spans="1:8" s="1" customFormat="1" ht="16.5">
      <c r="A691" s="595" t="s">
        <v>3384</v>
      </c>
      <c r="B691" s="596">
        <f>+H691</f>
        <v>4912.47</v>
      </c>
      <c r="C691" s="566" t="s">
        <v>3385</v>
      </c>
      <c r="D691" s="566"/>
      <c r="E691" s="566"/>
      <c r="F691" s="592" t="s">
        <v>1711</v>
      </c>
      <c r="G691" s="593"/>
      <c r="H691" s="596">
        <f>SUM(H689:H690)</f>
        <v>4912.47</v>
      </c>
    </row>
    <row r="692" spans="1:8" s="1" customFormat="1" ht="16.5">
      <c r="A692" s="597"/>
      <c r="B692" s="598"/>
      <c r="C692" s="566"/>
      <c r="D692" s="566"/>
      <c r="E692" s="566"/>
      <c r="F692" s="592"/>
      <c r="G692" s="593"/>
      <c r="H692" s="598"/>
    </row>
    <row r="693" spans="1:8" s="1" customFormat="1" ht="15">
      <c r="A693" s="566"/>
      <c r="B693" s="566"/>
      <c r="C693" s="566"/>
      <c r="D693" s="566"/>
      <c r="E693" s="566"/>
      <c r="F693" s="566"/>
      <c r="G693" s="566"/>
      <c r="H693" s="566"/>
    </row>
    <row r="694" spans="1:8" s="1" customFormat="1" ht="15">
      <c r="A694" s="566"/>
      <c r="B694" s="566"/>
      <c r="C694" s="566"/>
      <c r="D694" s="566"/>
      <c r="E694" s="566"/>
      <c r="F694" s="566"/>
      <c r="G694" s="566"/>
      <c r="H694" s="566"/>
    </row>
    <row r="695" spans="1:8" s="1" customFormat="1" ht="15">
      <c r="A695" s="566"/>
      <c r="B695" s="566"/>
      <c r="C695" s="566"/>
      <c r="D695" s="566"/>
      <c r="E695" s="566"/>
      <c r="F695" s="566"/>
      <c r="G695" s="566"/>
      <c r="H695" s="566"/>
    </row>
    <row r="696" spans="1:8" s="1" customFormat="1" ht="15">
      <c r="A696" s="566"/>
      <c r="B696" s="566"/>
      <c r="C696" s="566"/>
      <c r="D696" s="566"/>
      <c r="E696" s="566"/>
      <c r="F696" s="566"/>
      <c r="G696" s="566"/>
      <c r="H696" s="566"/>
    </row>
    <row r="697" spans="1:8" s="1" customFormat="1" ht="15">
      <c r="A697" s="568">
        <f>A680+1</f>
        <v>326</v>
      </c>
      <c r="B697" s="1084"/>
      <c r="C697" s="1085"/>
      <c r="D697" s="1085"/>
      <c r="E697" s="1085"/>
      <c r="F697" s="1085"/>
      <c r="G697" s="1085"/>
      <c r="H697" s="1085"/>
    </row>
    <row r="698" spans="1:8" s="1" customFormat="1" ht="15">
      <c r="A698" s="570"/>
      <c r="B698" s="1086" t="s">
        <v>2563</v>
      </c>
      <c r="C698" s="1087"/>
      <c r="D698" s="1087"/>
      <c r="E698" s="1087"/>
      <c r="F698" s="1087"/>
      <c r="G698" s="1087"/>
      <c r="H698" s="1087"/>
    </row>
    <row r="699" spans="1:8" s="1" customFormat="1" ht="15">
      <c r="A699" s="571"/>
      <c r="B699" s="1084"/>
      <c r="C699" s="1085"/>
      <c r="D699" s="1085"/>
      <c r="E699" s="1085"/>
      <c r="F699" s="1085"/>
      <c r="G699" s="1085"/>
      <c r="H699" s="1085"/>
    </row>
    <row r="700" spans="1:8" s="1" customFormat="1" ht="15">
      <c r="A700" s="572"/>
      <c r="B700" s="569"/>
      <c r="C700" s="569"/>
      <c r="D700" s="569"/>
      <c r="E700" s="569"/>
      <c r="F700" s="569"/>
      <c r="G700" s="569"/>
      <c r="H700" s="569"/>
    </row>
    <row r="701" spans="1:8" s="1" customFormat="1" ht="15">
      <c r="A701" s="566"/>
      <c r="B701" s="573" t="s">
        <v>1604</v>
      </c>
      <c r="C701" s="573"/>
      <c r="D701" s="573"/>
      <c r="E701" s="573"/>
      <c r="F701" s="573"/>
      <c r="G701" s="573"/>
      <c r="H701" s="573"/>
    </row>
    <row r="702" spans="1:8" s="1" customFormat="1" ht="63">
      <c r="A702" s="566"/>
      <c r="B702" s="574" t="s">
        <v>3340</v>
      </c>
      <c r="C702" s="574" t="s">
        <v>3341</v>
      </c>
      <c r="D702" s="574" t="s">
        <v>3342</v>
      </c>
      <c r="E702" s="574" t="s">
        <v>3343</v>
      </c>
      <c r="F702" s="574" t="s">
        <v>3344</v>
      </c>
      <c r="G702" s="574" t="s">
        <v>3345</v>
      </c>
      <c r="H702" s="574" t="s">
        <v>1704</v>
      </c>
    </row>
    <row r="703" spans="1:8" s="1" customFormat="1" ht="47.25">
      <c r="A703" s="566"/>
      <c r="B703" s="575" t="s">
        <v>2330</v>
      </c>
      <c r="C703" s="576" t="s">
        <v>2788</v>
      </c>
      <c r="D703" s="577"/>
      <c r="E703" s="577"/>
      <c r="F703" s="578"/>
      <c r="G703" s="578"/>
      <c r="H703" s="579"/>
    </row>
    <row r="704" spans="1:8" s="1" customFormat="1" ht="31.5">
      <c r="A704" s="566"/>
      <c r="B704" s="580" t="s">
        <v>424</v>
      </c>
      <c r="C704" s="581" t="s">
        <v>1584</v>
      </c>
      <c r="D704" s="582">
        <v>1</v>
      </c>
      <c r="E704" s="583" t="s">
        <v>3170</v>
      </c>
      <c r="F704" s="584">
        <f>'update Rate'!F482</f>
        <v>4820.4799999999996</v>
      </c>
      <c r="G704" s="585">
        <f>FLOOR(D704*F704,0.01)</f>
        <v>4820.4800000000005</v>
      </c>
      <c r="H704" s="586"/>
    </row>
    <row r="705" spans="1:8" s="1" customFormat="1" ht="17.25">
      <c r="A705" s="566"/>
      <c r="B705" s="587"/>
      <c r="C705" s="587"/>
      <c r="D705" s="588"/>
      <c r="E705" s="589"/>
      <c r="F705" s="590"/>
      <c r="G705" s="590"/>
      <c r="H705" s="591">
        <f>SUM(G704)</f>
        <v>4820.4800000000005</v>
      </c>
    </row>
    <row r="706" spans="1:8" s="1" customFormat="1" ht="16.5">
      <c r="A706" s="566"/>
      <c r="B706" s="566"/>
      <c r="C706" s="566"/>
      <c r="D706" s="566"/>
      <c r="E706" s="566"/>
      <c r="F706" s="592" t="s">
        <v>1708</v>
      </c>
      <c r="G706" s="593"/>
      <c r="H706" s="594">
        <f>SUM(H702:H705)</f>
        <v>4820.4800000000005</v>
      </c>
    </row>
    <row r="707" spans="1:8" s="1" customFormat="1" ht="16.5">
      <c r="A707" s="566"/>
      <c r="B707" s="566" t="s">
        <v>426</v>
      </c>
      <c r="C707" s="566"/>
      <c r="D707" s="566"/>
      <c r="E707" s="566"/>
      <c r="F707" s="592" t="s">
        <v>1688</v>
      </c>
      <c r="G707" s="593"/>
      <c r="H707" s="594">
        <f>FLOOR(H706*0.15,0.01)</f>
        <v>723.07</v>
      </c>
    </row>
    <row r="708" spans="1:8" s="1" customFormat="1" ht="16.5">
      <c r="A708" s="595" t="s">
        <v>3384</v>
      </c>
      <c r="B708" s="596">
        <f>+H708</f>
        <v>5543.55</v>
      </c>
      <c r="C708" s="566" t="s">
        <v>3385</v>
      </c>
      <c r="D708" s="566"/>
      <c r="E708" s="566"/>
      <c r="F708" s="592" t="s">
        <v>1711</v>
      </c>
      <c r="G708" s="593"/>
      <c r="H708" s="596">
        <f>SUM(H706:H707)</f>
        <v>5543.55</v>
      </c>
    </row>
    <row r="709" spans="1:8" s="1" customFormat="1" ht="16.5">
      <c r="A709" s="595"/>
      <c r="B709" s="598"/>
      <c r="C709" s="566"/>
      <c r="D709" s="566"/>
      <c r="E709" s="566"/>
      <c r="F709" s="592"/>
      <c r="G709" s="593"/>
      <c r="H709" s="598"/>
    </row>
    <row r="710" spans="1:8" s="1" customFormat="1" ht="16.5">
      <c r="A710" s="595"/>
      <c r="B710" s="598"/>
      <c r="C710" s="566"/>
      <c r="D710" s="566"/>
      <c r="E710" s="566"/>
      <c r="F710" s="592"/>
      <c r="G710" s="593"/>
      <c r="H710" s="598"/>
    </row>
    <row r="711" spans="1:8" s="1" customFormat="1" ht="15"/>
    <row r="712" spans="1:8" s="1" customFormat="1" ht="15"/>
    <row r="713" spans="1:8" s="1" customFormat="1" ht="15"/>
    <row r="714" spans="1:8" s="1" customFormat="1" ht="15"/>
    <row r="715" spans="1:8" s="1" customFormat="1" ht="15"/>
    <row r="716" spans="1:8" s="1" customFormat="1" ht="15"/>
    <row r="717" spans="1:8" s="1" customFormat="1" ht="15"/>
    <row r="718" spans="1:8" s="1" customFormat="1" ht="15"/>
    <row r="719" spans="1:8" s="1" customFormat="1" ht="15"/>
    <row r="720" spans="1:8" s="1" customFormat="1" ht="15"/>
    <row r="721" s="1" customFormat="1" ht="15"/>
    <row r="722" s="1" customFormat="1" ht="15"/>
    <row r="723" s="1" customFormat="1" ht="15"/>
    <row r="724" s="1" customFormat="1" ht="15"/>
    <row r="725" s="1" customFormat="1" ht="15"/>
    <row r="726" s="1" customFormat="1" ht="15"/>
    <row r="727" s="1" customFormat="1" ht="15"/>
    <row r="728" s="1" customFormat="1" ht="15"/>
    <row r="729" s="1" customFormat="1" ht="15"/>
    <row r="730" s="1" customFormat="1" ht="15"/>
    <row r="731" s="1" customFormat="1" ht="15"/>
    <row r="732" s="1" customFormat="1" ht="15"/>
    <row r="733" s="1" customFormat="1" ht="15"/>
    <row r="734" s="1" customFormat="1" ht="15"/>
    <row r="735" s="1" customFormat="1" ht="15"/>
    <row r="736" s="1" customFormat="1" ht="15"/>
    <row r="737" s="1" customFormat="1" ht="15"/>
    <row r="738" s="1" customFormat="1" ht="15"/>
    <row r="739" s="1" customFormat="1" ht="15"/>
    <row r="740" s="1" customFormat="1" ht="15"/>
  </sheetData>
  <mergeCells count="184">
    <mergeCell ref="B97:H97"/>
    <mergeCell ref="B98:H98"/>
    <mergeCell ref="B99:H99"/>
    <mergeCell ref="B162:H162"/>
    <mergeCell ref="B5:H5"/>
    <mergeCell ref="B3:H3"/>
    <mergeCell ref="B7:B8"/>
    <mergeCell ref="B9:B12"/>
    <mergeCell ref="B4:H4"/>
    <mergeCell ref="B123:H123"/>
    <mergeCell ref="B124:H124"/>
    <mergeCell ref="B101:H101"/>
    <mergeCell ref="B100:H100"/>
    <mergeCell ref="B113:H113"/>
    <mergeCell ref="B110:H110"/>
    <mergeCell ref="B111:H111"/>
    <mergeCell ref="B112:H112"/>
    <mergeCell ref="B114:H114"/>
    <mergeCell ref="B18:H18"/>
    <mergeCell ref="B19:H19"/>
    <mergeCell ref="B67:B73"/>
    <mergeCell ref="B49:B55"/>
    <mergeCell ref="B34:B37"/>
    <mergeCell ref="B65:H65"/>
    <mergeCell ref="B47:H47"/>
    <mergeCell ref="B45:H45"/>
    <mergeCell ref="B46:H46"/>
    <mergeCell ref="B63:H63"/>
    <mergeCell ref="B62:H62"/>
    <mergeCell ref="B64:H64"/>
    <mergeCell ref="B44:H44"/>
    <mergeCell ref="B29:H29"/>
    <mergeCell ref="B30:H30"/>
    <mergeCell ref="B31:H31"/>
    <mergeCell ref="B204:H204"/>
    <mergeCell ref="B179:H179"/>
    <mergeCell ref="B180:H180"/>
    <mergeCell ref="B139:H139"/>
    <mergeCell ref="B177:H177"/>
    <mergeCell ref="B181:H181"/>
    <mergeCell ref="B151:H151"/>
    <mergeCell ref="B152:H152"/>
    <mergeCell ref="B125:H125"/>
    <mergeCell ref="B126:H126"/>
    <mergeCell ref="B127:H127"/>
    <mergeCell ref="B136:H136"/>
    <mergeCell ref="B153:H153"/>
    <mergeCell ref="B137:H137"/>
    <mergeCell ref="B138:H138"/>
    <mergeCell ref="B163:H163"/>
    <mergeCell ref="B164:H164"/>
    <mergeCell ref="B165:H165"/>
    <mergeCell ref="B166:H166"/>
    <mergeCell ref="B178:H178"/>
    <mergeCell ref="B233:H233"/>
    <mergeCell ref="B245:H245"/>
    <mergeCell ref="B205:H205"/>
    <mergeCell ref="B269:B271"/>
    <mergeCell ref="B264:H264"/>
    <mergeCell ref="B218:H218"/>
    <mergeCell ref="B231:H231"/>
    <mergeCell ref="B232:H232"/>
    <mergeCell ref="B207:B209"/>
    <mergeCell ref="B217:H217"/>
    <mergeCell ref="B265:H265"/>
    <mergeCell ref="B267:B268"/>
    <mergeCell ref="B220:B222"/>
    <mergeCell ref="B246:H246"/>
    <mergeCell ref="B247:H247"/>
    <mergeCell ref="B309:H309"/>
    <mergeCell ref="B299:H299"/>
    <mergeCell ref="B300:H300"/>
    <mergeCell ref="B310:H310"/>
    <mergeCell ref="B311:H311"/>
    <mergeCell ref="B313:B314"/>
    <mergeCell ref="B284:B290"/>
    <mergeCell ref="B315:B316"/>
    <mergeCell ref="B302:B303"/>
    <mergeCell ref="C302:C303"/>
    <mergeCell ref="E302:E303"/>
    <mergeCell ref="B323:H323"/>
    <mergeCell ref="B325:B326"/>
    <mergeCell ref="B140:H140"/>
    <mergeCell ref="B149:H149"/>
    <mergeCell ref="B150:H150"/>
    <mergeCell ref="B365:B366"/>
    <mergeCell ref="B342:B343"/>
    <mergeCell ref="B362:H362"/>
    <mergeCell ref="C365:C366"/>
    <mergeCell ref="E365:E366"/>
    <mergeCell ref="B355:B356"/>
    <mergeCell ref="C355:C356"/>
    <mergeCell ref="B279:H279"/>
    <mergeCell ref="B280:H280"/>
    <mergeCell ref="B282:B283"/>
    <mergeCell ref="B352:H352"/>
    <mergeCell ref="B344:B347"/>
    <mergeCell ref="B353:H353"/>
    <mergeCell ref="B322:H322"/>
    <mergeCell ref="B338:H338"/>
    <mergeCell ref="B339:H339"/>
    <mergeCell ref="B278:H278"/>
    <mergeCell ref="B337:H337"/>
    <mergeCell ref="B327:B328"/>
    <mergeCell ref="B385:H385"/>
    <mergeCell ref="B387:B388"/>
    <mergeCell ref="C387:C388"/>
    <mergeCell ref="E387:E388"/>
    <mergeCell ref="B405:H405"/>
    <mergeCell ref="B406:H406"/>
    <mergeCell ref="B415:H415"/>
    <mergeCell ref="B416:H416"/>
    <mergeCell ref="B418:B419"/>
    <mergeCell ref="C418:C419"/>
    <mergeCell ref="E418:E419"/>
    <mergeCell ref="B408:B409"/>
    <mergeCell ref="C408:C409"/>
    <mergeCell ref="E408:E409"/>
    <mergeCell ref="E398:E399"/>
    <mergeCell ref="B363:H363"/>
    <mergeCell ref="E355:E356"/>
    <mergeCell ref="B340:H340"/>
    <mergeCell ref="B443:H443"/>
    <mergeCell ref="B444:H444"/>
    <mergeCell ref="B558:H558"/>
    <mergeCell ref="B559:H559"/>
    <mergeCell ref="B509:H509"/>
    <mergeCell ref="B510:H510"/>
    <mergeCell ref="B511:H511"/>
    <mergeCell ref="B541:H541"/>
    <mergeCell ref="B395:H395"/>
    <mergeCell ref="B396:H396"/>
    <mergeCell ref="B398:B399"/>
    <mergeCell ref="C398:C399"/>
    <mergeCell ref="B437:H437"/>
    <mergeCell ref="B384:H384"/>
    <mergeCell ref="B373:H373"/>
    <mergeCell ref="B374:H374"/>
    <mergeCell ref="B376:B377"/>
    <mergeCell ref="C376:C377"/>
    <mergeCell ref="E376:E377"/>
    <mergeCell ref="B462:H462"/>
    <mergeCell ref="B492:H492"/>
    <mergeCell ref="B699:H699"/>
    <mergeCell ref="B680:H680"/>
    <mergeCell ref="B681:H681"/>
    <mergeCell ref="B682:H682"/>
    <mergeCell ref="B697:H697"/>
    <mergeCell ref="B445:H445"/>
    <mergeCell ref="B460:H460"/>
    <mergeCell ref="B494:H494"/>
    <mergeCell ref="B461:H461"/>
    <mergeCell ref="B698:H698"/>
    <mergeCell ref="B560:H560"/>
    <mergeCell ref="B663:H663"/>
    <mergeCell ref="B664:H664"/>
    <mergeCell ref="B665:H665"/>
    <mergeCell ref="B542:H542"/>
    <mergeCell ref="B543:H543"/>
    <mergeCell ref="B493:H493"/>
    <mergeCell ref="B586:H586"/>
    <mergeCell ref="B574:H574"/>
    <mergeCell ref="B573:H573"/>
    <mergeCell ref="B613:H613"/>
    <mergeCell ref="B614:H614"/>
    <mergeCell ref="B626:H626"/>
    <mergeCell ref="B639:H639"/>
    <mergeCell ref="B611:H611"/>
    <mergeCell ref="B624:H624"/>
    <mergeCell ref="B575:H575"/>
    <mergeCell ref="B600:H600"/>
    <mergeCell ref="B625:H625"/>
    <mergeCell ref="B638:H638"/>
    <mergeCell ref="B601:H601"/>
    <mergeCell ref="B636:H636"/>
    <mergeCell ref="B637:H637"/>
    <mergeCell ref="B587:H587"/>
    <mergeCell ref="B588:H588"/>
    <mergeCell ref="B599:H599"/>
    <mergeCell ref="B612:H612"/>
    <mergeCell ref="B623:H623"/>
    <mergeCell ref="B576:H576"/>
    <mergeCell ref="B589:H589"/>
    <mergeCell ref="B602:H60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50</vt:i4>
      </vt:variant>
    </vt:vector>
  </HeadingPairs>
  <TitlesOfParts>
    <vt:vector size="57" baseType="lpstr">
      <vt:lpstr>Basic</vt:lpstr>
      <vt:lpstr>Dist Rate</vt:lpstr>
      <vt:lpstr>update Rate</vt:lpstr>
      <vt:lpstr>Update Descrip</vt:lpstr>
      <vt:lpstr>Table of Content 1</vt:lpstr>
      <vt:lpstr>Table of Content 2</vt:lpstr>
      <vt:lpstr>Sheet1</vt:lpstr>
      <vt:lpstr>_cgi24</vt:lpstr>
      <vt:lpstr>_cgi26</vt:lpstr>
      <vt:lpstr>awood</vt:lpstr>
      <vt:lpstr>brick</vt:lpstr>
      <vt:lpstr>cheskini100</vt:lpstr>
      <vt:lpstr>cheskini150</vt:lpstr>
      <vt:lpstr>cheskini300</vt:lpstr>
      <vt:lpstr>colorpata</vt:lpstr>
      <vt:lpstr>Diagowar</vt:lpstr>
      <vt:lpstr>giwar</vt:lpstr>
      <vt:lpstr>giwire</vt:lpstr>
      <vt:lpstr>giwire24</vt:lpstr>
      <vt:lpstr>glass3</vt:lpstr>
      <vt:lpstr>glass4</vt:lpstr>
      <vt:lpstr>glass5</vt:lpstr>
      <vt:lpstr>glass6</vt:lpstr>
      <vt:lpstr>handle</vt:lpstr>
      <vt:lpstr>holpass</vt:lpstr>
      <vt:lpstr>igwire</vt:lpstr>
      <vt:lpstr>Jparling</vt:lpstr>
      <vt:lpstr>jphalak</vt:lpstr>
      <vt:lpstr>Jwarling</vt:lpstr>
      <vt:lpstr>Jwood</vt:lpstr>
      <vt:lpstr>Kabja100</vt:lpstr>
      <vt:lpstr>kabja75</vt:lpstr>
      <vt:lpstr>kila</vt:lpstr>
      <vt:lpstr>lucking300</vt:lpstr>
      <vt:lpstr>Marble</vt:lpstr>
      <vt:lpstr>mason</vt:lpstr>
      <vt:lpstr>mluck</vt:lpstr>
      <vt:lpstr>moluck</vt:lpstr>
      <vt:lpstr>pkila</vt:lpstr>
      <vt:lpstr>plainst26</vt:lpstr>
      <vt:lpstr>plainst28</vt:lpstr>
      <vt:lpstr>plywood4</vt:lpstr>
      <vt:lpstr>plywood6</vt:lpstr>
      <vt:lpstr>Basic!Print_Area</vt:lpstr>
      <vt:lpstr>'Table of Content 1'!Print_Area</vt:lpstr>
      <vt:lpstr>'Table of Content 2'!Print_Area</vt:lpstr>
      <vt:lpstr>'Update Descrip'!Print_Area</vt:lpstr>
      <vt:lpstr>'update Rate'!Print_Area</vt:lpstr>
      <vt:lpstr>Basic!Print_Titles</vt:lpstr>
      <vt:lpstr>'Dist Rate'!Print_Titles</vt:lpstr>
      <vt:lpstr>'Table of Content 2'!Print_Titles</vt:lpstr>
      <vt:lpstr>'update Rate'!Print_Titles</vt:lpstr>
      <vt:lpstr>shandle</vt:lpstr>
      <vt:lpstr>Swood</vt:lpstr>
      <vt:lpstr>Tikply4</vt:lpstr>
      <vt:lpstr>torsteel</vt:lpstr>
      <vt:lpstr>Ttile</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Digit</cp:lastModifiedBy>
  <cp:lastPrinted>2012-09-17T07:59:48Z</cp:lastPrinted>
  <dcterms:created xsi:type="dcterms:W3CDTF">2001-09-13T09:23:52Z</dcterms:created>
  <dcterms:modified xsi:type="dcterms:W3CDTF">2013-07-15T05:30:28Z</dcterms:modified>
</cp:coreProperties>
</file>